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SA\Desktop\"/>
    </mc:Choice>
  </mc:AlternateContent>
  <xr:revisionPtr revIDLastSave="0" documentId="8_{FD101BBF-0FEE-4044-ABD5-563DEE0051F3}" xr6:coauthVersionLast="47" xr6:coauthVersionMax="47" xr10:uidLastSave="{00000000-0000-0000-0000-000000000000}"/>
  <bookViews>
    <workbookView xWindow="-108" yWindow="-108" windowWidth="23256" windowHeight="13896" firstSheet="7" activeTab="13" xr2:uid="{00000000-000D-0000-FFFF-FFFF00000000}"/>
  </bookViews>
  <sheets>
    <sheet name="Графические данные" sheetId="2" state="hidden" r:id="rId1"/>
    <sheet name="Январь 2026" sheetId="1" r:id="rId2"/>
    <sheet name="Февраль 2026" sheetId="3" r:id="rId3"/>
    <sheet name="Март 2026" sheetId="4" r:id="rId4"/>
    <sheet name="Апрель 2026" sheetId="5" r:id="rId5"/>
    <sheet name="Май 2026" sheetId="6" r:id="rId6"/>
    <sheet name="Июнь 2026" sheetId="7" r:id="rId7"/>
    <sheet name="Июль 2026" sheetId="8" r:id="rId8"/>
    <sheet name="Август 2026" sheetId="9" r:id="rId9"/>
    <sheet name="Сентябрь 2026" sheetId="10" r:id="rId10"/>
    <sheet name="Октябрь 2026" sheetId="11" r:id="rId11"/>
    <sheet name="Ноябрь 2026" sheetId="12" r:id="rId12"/>
    <sheet name="Декабрь 2026" sheetId="13" r:id="rId13"/>
    <sheet name="ИТОГИ 2026г." sheetId="14" r:id="rId14"/>
  </sheets>
  <definedNames>
    <definedName name="_xlnm.Print_Area" localSheetId="1">'Январь 2026'!$A$1:$E$49</definedName>
    <definedName name="ОбщиеДоходыЗаМесяц">'ИТОГИ 2026г.'!$E$9</definedName>
    <definedName name="ОбщиеРасходыЗаМесяц">'ИТОГИ 2026г.'!#REF!</definedName>
    <definedName name="ОбщиеСбереженияЗаМесяц">'ИТОГИ 2026г.'!#REF!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3" l="1"/>
  <c r="E20" i="3" l="1"/>
  <c r="E21" i="3"/>
  <c r="E22" i="3"/>
  <c r="E23" i="3"/>
  <c r="E24" i="3"/>
  <c r="E26" i="3" s="1"/>
  <c r="E15" i="3" s="1"/>
  <c r="E25" i="3"/>
  <c r="C26" i="3"/>
  <c r="C15" i="3" s="1"/>
  <c r="D26" i="3"/>
  <c r="D15" i="3" s="1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C49" i="3"/>
  <c r="C16" i="3" s="1"/>
  <c r="D49" i="3"/>
  <c r="D16" i="3" s="1"/>
  <c r="D77" i="2"/>
  <c r="E77" i="2"/>
  <c r="E76" i="2"/>
  <c r="D76" i="2"/>
  <c r="E70" i="2"/>
  <c r="D70" i="2"/>
  <c r="D69" i="2"/>
  <c r="E69" i="2"/>
  <c r="E63" i="2"/>
  <c r="D63" i="2"/>
  <c r="D62" i="2"/>
  <c r="E62" i="2"/>
  <c r="E56" i="2"/>
  <c r="D56" i="2"/>
  <c r="D55" i="2"/>
  <c r="E55" i="2"/>
  <c r="D49" i="2"/>
  <c r="E49" i="2"/>
  <c r="E48" i="2"/>
  <c r="D48" i="2"/>
  <c r="E42" i="2"/>
  <c r="D42" i="2"/>
  <c r="D41" i="2"/>
  <c r="E41" i="2"/>
  <c r="D35" i="2"/>
  <c r="E35" i="2"/>
  <c r="E34" i="2"/>
  <c r="D34" i="2"/>
  <c r="E28" i="2"/>
  <c r="D28" i="2"/>
  <c r="E27" i="2"/>
  <c r="D27" i="2"/>
  <c r="E26" i="2"/>
  <c r="D21" i="2"/>
  <c r="E21" i="2"/>
  <c r="D49" i="13"/>
  <c r="E84" i="2" s="1"/>
  <c r="C49" i="13"/>
  <c r="C16" i="13" s="1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D15" i="13"/>
  <c r="C26" i="13"/>
  <c r="C15" i="13" s="1"/>
  <c r="E25" i="13"/>
  <c r="E24" i="13"/>
  <c r="E23" i="13"/>
  <c r="E22" i="13"/>
  <c r="E21" i="13"/>
  <c r="E20" i="13"/>
  <c r="D49" i="12"/>
  <c r="D16" i="12" s="1"/>
  <c r="C49" i="12"/>
  <c r="C16" i="12" s="1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49" i="12" s="1"/>
  <c r="E16" i="12" s="1"/>
  <c r="E29" i="12"/>
  <c r="D26" i="12"/>
  <c r="C26" i="12"/>
  <c r="C15" i="12" s="1"/>
  <c r="E25" i="12"/>
  <c r="E24" i="12"/>
  <c r="E23" i="12"/>
  <c r="E22" i="12"/>
  <c r="E21" i="12"/>
  <c r="E20" i="12"/>
  <c r="E26" i="12" s="1"/>
  <c r="E15" i="12" s="1"/>
  <c r="D15" i="12"/>
  <c r="D49" i="11"/>
  <c r="D16" i="11" s="1"/>
  <c r="C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49" i="11" s="1"/>
  <c r="E16" i="11" s="1"/>
  <c r="E30" i="11"/>
  <c r="E29" i="11"/>
  <c r="D26" i="11"/>
  <c r="C26" i="11"/>
  <c r="E25" i="11"/>
  <c r="E24" i="11"/>
  <c r="E23" i="11"/>
  <c r="E22" i="11"/>
  <c r="E21" i="11"/>
  <c r="E20" i="11"/>
  <c r="E26" i="11" s="1"/>
  <c r="E15" i="11" s="1"/>
  <c r="C16" i="11"/>
  <c r="D15" i="11"/>
  <c r="C15" i="11"/>
  <c r="C17" i="11" s="1"/>
  <c r="D68" i="2" s="1"/>
  <c r="D49" i="10"/>
  <c r="D16" i="10" s="1"/>
  <c r="C49" i="10"/>
  <c r="C16" i="10" s="1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49" i="10" s="1"/>
  <c r="E16" i="10" s="1"/>
  <c r="E30" i="10"/>
  <c r="E29" i="10"/>
  <c r="D26" i="10"/>
  <c r="C26" i="10"/>
  <c r="E25" i="10"/>
  <c r="E24" i="10"/>
  <c r="E23" i="10"/>
  <c r="E22" i="10"/>
  <c r="E21" i="10"/>
  <c r="E20" i="10"/>
  <c r="E26" i="10" s="1"/>
  <c r="E15" i="10" s="1"/>
  <c r="D15" i="10"/>
  <c r="C15" i="10"/>
  <c r="E49" i="9"/>
  <c r="E16" i="9" s="1"/>
  <c r="D49" i="9"/>
  <c r="D16" i="9" s="1"/>
  <c r="C49" i="9"/>
  <c r="C16" i="9" s="1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D26" i="9"/>
  <c r="D15" i="9" s="1"/>
  <c r="C26" i="9"/>
  <c r="C15" i="9" s="1"/>
  <c r="E25" i="9"/>
  <c r="E24" i="9"/>
  <c r="E23" i="9"/>
  <c r="E22" i="9"/>
  <c r="E21" i="9"/>
  <c r="E20" i="9"/>
  <c r="E26" i="9" s="1"/>
  <c r="E15" i="9" s="1"/>
  <c r="D49" i="8"/>
  <c r="C49" i="8"/>
  <c r="C16" i="8" s="1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49" i="8" s="1"/>
  <c r="E16" i="8" s="1"/>
  <c r="D26" i="8"/>
  <c r="D15" i="8" s="1"/>
  <c r="C26" i="8"/>
  <c r="C15" i="8" s="1"/>
  <c r="E25" i="8"/>
  <c r="E24" i="8"/>
  <c r="E23" i="8"/>
  <c r="E22" i="8"/>
  <c r="E21" i="8"/>
  <c r="E20" i="8"/>
  <c r="E26" i="8" s="1"/>
  <c r="E15" i="8" s="1"/>
  <c r="E17" i="8" s="1"/>
  <c r="D16" i="8"/>
  <c r="D49" i="7"/>
  <c r="C49" i="7"/>
  <c r="C16" i="7" s="1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49" i="7" s="1"/>
  <c r="E16" i="7" s="1"/>
  <c r="E30" i="7"/>
  <c r="E29" i="7"/>
  <c r="D26" i="7"/>
  <c r="C26" i="7"/>
  <c r="E25" i="7"/>
  <c r="E24" i="7"/>
  <c r="E23" i="7"/>
  <c r="E22" i="7"/>
  <c r="E21" i="7"/>
  <c r="E20" i="7"/>
  <c r="E26" i="7" s="1"/>
  <c r="E15" i="7" s="1"/>
  <c r="D16" i="7"/>
  <c r="D15" i="7"/>
  <c r="D17" i="7" s="1"/>
  <c r="E40" i="2" s="1"/>
  <c r="C15" i="7"/>
  <c r="D49" i="6"/>
  <c r="D16" i="6" s="1"/>
  <c r="C49" i="6"/>
  <c r="C16" i="6" s="1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49" i="6" s="1"/>
  <c r="E16" i="6" s="1"/>
  <c r="E30" i="6"/>
  <c r="E29" i="6"/>
  <c r="D26" i="6"/>
  <c r="D15" i="6" s="1"/>
  <c r="C26" i="6"/>
  <c r="C15" i="6" s="1"/>
  <c r="E25" i="6"/>
  <c r="E24" i="6"/>
  <c r="E23" i="6"/>
  <c r="E22" i="6"/>
  <c r="E21" i="6"/>
  <c r="E20" i="6"/>
  <c r="E26" i="6" s="1"/>
  <c r="E15" i="6" s="1"/>
  <c r="D49" i="5"/>
  <c r="C49" i="5"/>
  <c r="C16" i="5" s="1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49" i="5" s="1"/>
  <c r="E16" i="5" s="1"/>
  <c r="D26" i="5"/>
  <c r="C26" i="5"/>
  <c r="C15" i="5" s="1"/>
  <c r="E25" i="5"/>
  <c r="E24" i="5"/>
  <c r="E23" i="5"/>
  <c r="E22" i="5"/>
  <c r="E21" i="5"/>
  <c r="E20" i="5"/>
  <c r="E26" i="5" s="1"/>
  <c r="E15" i="5" s="1"/>
  <c r="D16" i="5"/>
  <c r="D15" i="5"/>
  <c r="D49" i="4"/>
  <c r="D16" i="4" s="1"/>
  <c r="C49" i="4"/>
  <c r="C16" i="4" s="1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D26" i="4"/>
  <c r="D15" i="4" s="1"/>
  <c r="C26" i="4"/>
  <c r="C15" i="4" s="1"/>
  <c r="E25" i="4"/>
  <c r="E24" i="4"/>
  <c r="E23" i="4"/>
  <c r="E22" i="4"/>
  <c r="E21" i="4"/>
  <c r="E20" i="4"/>
  <c r="E21" i="1"/>
  <c r="E22" i="1"/>
  <c r="E23" i="1"/>
  <c r="D49" i="1"/>
  <c r="D16" i="1" s="1"/>
  <c r="C49" i="1"/>
  <c r="C16" i="1" s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29" i="1"/>
  <c r="D26" i="1"/>
  <c r="D15" i="1" s="1"/>
  <c r="C26" i="1"/>
  <c r="C15" i="1" s="1"/>
  <c r="E24" i="1"/>
  <c r="E25" i="1"/>
  <c r="E20" i="1"/>
  <c r="D84" i="2" l="1"/>
  <c r="E49" i="13"/>
  <c r="E16" i="13" s="1"/>
  <c r="D16" i="13"/>
  <c r="D17" i="13" s="1"/>
  <c r="E82" i="2" s="1"/>
  <c r="D83" i="2"/>
  <c r="E83" i="2"/>
  <c r="E49" i="3"/>
  <c r="E16" i="3" s="1"/>
  <c r="E17" i="3" s="1"/>
  <c r="E20" i="2"/>
  <c r="D17" i="3"/>
  <c r="E12" i="2" s="1"/>
  <c r="C17" i="3"/>
  <c r="D12" i="2" s="1"/>
  <c r="D13" i="2"/>
  <c r="D14" i="2"/>
  <c r="E13" i="2"/>
  <c r="E14" i="2"/>
  <c r="D20" i="2"/>
  <c r="E26" i="4"/>
  <c r="E15" i="4" s="1"/>
  <c r="E17" i="4" s="1"/>
  <c r="C17" i="13"/>
  <c r="D82" i="2" s="1"/>
  <c r="E26" i="13"/>
  <c r="E15" i="13" s="1"/>
  <c r="E17" i="13" s="1"/>
  <c r="C17" i="12"/>
  <c r="D75" i="2" s="1"/>
  <c r="D17" i="11"/>
  <c r="E68" i="2" s="1"/>
  <c r="E17" i="11"/>
  <c r="D17" i="10"/>
  <c r="E61" i="2" s="1"/>
  <c r="C17" i="9"/>
  <c r="D54" i="2" s="1"/>
  <c r="D17" i="9"/>
  <c r="E54" i="2" s="1"/>
  <c r="E17" i="9"/>
  <c r="C17" i="8"/>
  <c r="D47" i="2" s="1"/>
  <c r="D17" i="8"/>
  <c r="E47" i="2" s="1"/>
  <c r="C17" i="6"/>
  <c r="D33" i="2" s="1"/>
  <c r="C17" i="7"/>
  <c r="D40" i="2" s="1"/>
  <c r="D17" i="6"/>
  <c r="E33" i="2" s="1"/>
  <c r="C17" i="4"/>
  <c r="D19" i="2" s="1"/>
  <c r="D17" i="5"/>
  <c r="C17" i="5"/>
  <c r="D26" i="2" s="1"/>
  <c r="E17" i="5"/>
  <c r="E49" i="4"/>
  <c r="E16" i="4" s="1"/>
  <c r="D17" i="4"/>
  <c r="E19" i="2" s="1"/>
  <c r="D17" i="12"/>
  <c r="E75" i="2" s="1"/>
  <c r="E17" i="12"/>
  <c r="C17" i="10"/>
  <c r="D61" i="2" s="1"/>
  <c r="E17" i="10"/>
  <c r="E17" i="7"/>
  <c r="E17" i="6"/>
  <c r="D6" i="2"/>
  <c r="E6" i="2"/>
  <c r="C17" i="1"/>
  <c r="D5" i="2" s="1"/>
  <c r="E7" i="2"/>
  <c r="D17" i="1"/>
  <c r="E5" i="2" s="1"/>
  <c r="D7" i="2"/>
  <c r="E49" i="1"/>
  <c r="E16" i="1" s="1"/>
  <c r="E26" i="1"/>
  <c r="E15" i="1" s="1"/>
  <c r="D90" i="2" l="1"/>
  <c r="D91" i="2"/>
  <c r="E89" i="2"/>
  <c r="E12" i="14" s="1"/>
  <c r="E91" i="2"/>
  <c r="E10" i="14" s="1"/>
  <c r="D89" i="2"/>
  <c r="E90" i="2"/>
  <c r="E8" i="14" s="1"/>
  <c r="E17" i="1"/>
</calcChain>
</file>

<file path=xl/sharedStrings.xml><?xml version="1.0" encoding="utf-8"?>
<sst xmlns="http://schemas.openxmlformats.org/spreadsheetml/2006/main" count="623" uniqueCount="67">
  <si>
    <t>Семейный бюджет</t>
  </si>
  <si>
    <t>Движение денежных средств</t>
  </si>
  <si>
    <t>Общие доходы</t>
  </si>
  <si>
    <t>Общие расходы</t>
  </si>
  <si>
    <t>Итого денежных средств</t>
  </si>
  <si>
    <t>Доходы за месяц</t>
  </si>
  <si>
    <t>Доход 1</t>
  </si>
  <si>
    <t>Доход 2</t>
  </si>
  <si>
    <t>Другие доходы</t>
  </si>
  <si>
    <t>Расходы за месяц</t>
  </si>
  <si>
    <t>Жилье</t>
  </si>
  <si>
    <t>Продукты</t>
  </si>
  <si>
    <t>Телефонная связь</t>
  </si>
  <si>
    <t>Электричество, газ</t>
  </si>
  <si>
    <t>Водоснабжение, водоотведение, вывоз мусора</t>
  </si>
  <si>
    <t>Кабельное ТВ</t>
  </si>
  <si>
    <t>Интернет</t>
  </si>
  <si>
    <t>Ремонт, техническое обслуживание</t>
  </si>
  <si>
    <t>Уход за ребенком</t>
  </si>
  <si>
    <t>Обучение</t>
  </si>
  <si>
    <t>Домашние животные</t>
  </si>
  <si>
    <t>Транспорт</t>
  </si>
  <si>
    <t>Предметы личной гигиены</t>
  </si>
  <si>
    <t>Страхование</t>
  </si>
  <si>
    <t>Кредитные карты</t>
  </si>
  <si>
    <t>Кредиты</t>
  </si>
  <si>
    <t>Налоги</t>
  </si>
  <si>
    <t>Подарки, благотворительность</t>
  </si>
  <si>
    <t>Сбережения</t>
  </si>
  <si>
    <t>Другое</t>
  </si>
  <si>
    <t>Итого</t>
  </si>
  <si>
    <t>Планируемые</t>
  </si>
  <si>
    <t>Фактические</t>
  </si>
  <si>
    <t>Отклонение</t>
  </si>
  <si>
    <t>Доход 3</t>
  </si>
  <si>
    <t>Доход 4</t>
  </si>
  <si>
    <t>Доход 5</t>
  </si>
  <si>
    <t>Апрель</t>
  </si>
  <si>
    <t>Декабрь</t>
  </si>
  <si>
    <t>Ноябрь</t>
  </si>
  <si>
    <t>Октябрь</t>
  </si>
  <si>
    <t>Сентябрь</t>
  </si>
  <si>
    <t>Август</t>
  </si>
  <si>
    <t>Июнь</t>
  </si>
  <si>
    <t>Май</t>
  </si>
  <si>
    <t>Март</t>
  </si>
  <si>
    <t>Февраль</t>
  </si>
  <si>
    <t>Диаграмма Январь</t>
  </si>
  <si>
    <t>Диаграмма Февраль</t>
  </si>
  <si>
    <t>Диаграмма Март</t>
  </si>
  <si>
    <t>Диаграмма Апрель</t>
  </si>
  <si>
    <t>Диаграмма Май</t>
  </si>
  <si>
    <t>Диаграмма Июнь</t>
  </si>
  <si>
    <t>Диаграмма Июль</t>
  </si>
  <si>
    <t>Диаграмма Август</t>
  </si>
  <si>
    <t>Диаграмма Сентябрь</t>
  </si>
  <si>
    <t>Диаграмма Октябрь</t>
  </si>
  <si>
    <t>Диаграмма Ноябрь</t>
  </si>
  <si>
    <t>Диаграмма Декабрь</t>
  </si>
  <si>
    <t>Январь</t>
  </si>
  <si>
    <t>Июль</t>
  </si>
  <si>
    <t>Итоги Года</t>
  </si>
  <si>
    <t>ИТОГИ 2026г.</t>
  </si>
  <si>
    <t>ФАКТИЧЕСКИЕ ДОХОДЫ ЗА 2026 ГОД</t>
  </si>
  <si>
    <t>ФАКТИЧЕСКИЕ РАСХОДЫ ЗА 2026 ГОД</t>
  </si>
  <si>
    <t>РАЗНИЦА ДОХОД/РАСХОД ЗА 2026 ГОД</t>
  </si>
  <si>
    <t>Фактические итоги 2026г. по месяцам.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</si>
</sst>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£&quot;#,##0"/>
    <numFmt numFmtId="165" formatCode="#,##0\ &quot;₽&quot;"/>
  </numFmts>
  <fonts count="29" x14ac:knownFonts="1">
    <font>
      <b/>
      <sz val="13"/>
      <color theme="2" tint="-0.24994659260841701"/>
      <name val="Calibri"/>
      <family val="2"/>
      <scheme val="minor"/>
    </font>
    <font>
      <b/>
      <sz val="16"/>
      <color theme="5"/>
      <name val="Calibri"/>
      <family val="2"/>
      <scheme val="major"/>
    </font>
    <font>
      <b/>
      <sz val="31"/>
      <color theme="4"/>
      <name val="Calibri"/>
      <family val="2"/>
      <scheme val="major"/>
    </font>
    <font>
      <b/>
      <sz val="25"/>
      <color theme="4"/>
      <name val="Calibri"/>
      <family val="2"/>
      <scheme val="major"/>
    </font>
    <font>
      <b/>
      <sz val="25"/>
      <color theme="5"/>
      <name val="Calibri"/>
      <family val="2"/>
      <scheme val="major"/>
    </font>
    <font>
      <b/>
      <sz val="20"/>
      <color theme="4"/>
      <name val="Calibri"/>
      <family val="2"/>
      <scheme val="minor"/>
    </font>
    <font>
      <b/>
      <sz val="20"/>
      <color theme="2" tint="-0.24994659260841701"/>
      <name val="Calibri"/>
      <family val="2"/>
      <scheme val="minor"/>
    </font>
    <font>
      <b/>
      <sz val="13"/>
      <color theme="4"/>
      <name val="Calibri"/>
      <family val="2"/>
      <scheme val="minor"/>
    </font>
    <font>
      <b/>
      <sz val="13"/>
      <color theme="5"/>
      <name val="Calibri"/>
      <family val="2"/>
      <scheme val="minor"/>
    </font>
    <font>
      <b/>
      <sz val="13"/>
      <color theme="6"/>
      <name val="Calibri"/>
      <family val="2"/>
      <scheme val="minor"/>
    </font>
    <font>
      <b/>
      <sz val="25"/>
      <color theme="6"/>
      <name val="Calibri"/>
      <family val="2"/>
      <scheme val="major"/>
    </font>
    <font>
      <b/>
      <sz val="9"/>
      <color theme="2" tint="-0.2499465926084170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/>
      <name val="Calibri"/>
      <family val="2"/>
      <scheme val="major"/>
    </font>
    <font>
      <b/>
      <sz val="10"/>
      <color theme="2" tint="-0.2499465926084170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0.24994659260841701"/>
      <name val="Calibri"/>
      <family val="2"/>
      <scheme val="minor"/>
    </font>
    <font>
      <b/>
      <sz val="10"/>
      <color theme="3" tint="9.9948118533890809E-2"/>
      <name val="Calibri"/>
      <family val="2"/>
      <scheme val="major"/>
    </font>
    <font>
      <sz val="24"/>
      <color theme="3" tint="0.24994659260841701"/>
      <name val="Calibri"/>
      <family val="2"/>
      <scheme val="minor"/>
    </font>
    <font>
      <sz val="10"/>
      <color theme="4"/>
      <name val="Calibri"/>
      <family val="2"/>
      <scheme val="major"/>
    </font>
    <font>
      <sz val="20"/>
      <color theme="0"/>
      <name val="Calibri"/>
      <family val="2"/>
      <scheme val="major"/>
    </font>
    <font>
      <sz val="13"/>
      <color theme="3" tint="0.24994659260841701"/>
      <name val="Calibri"/>
      <family val="2"/>
      <scheme val="major"/>
    </font>
    <font>
      <sz val="24"/>
      <color theme="5"/>
      <name val="Calibri"/>
      <family val="2"/>
      <scheme val="minor"/>
    </font>
    <font>
      <sz val="24"/>
      <color theme="6"/>
      <name val="Calibri"/>
      <family val="2"/>
      <scheme val="minor"/>
    </font>
    <font>
      <b/>
      <sz val="10"/>
      <color rgb="FF00B050"/>
      <name val="Calibri"/>
      <family val="2"/>
      <scheme val="major"/>
    </font>
    <font>
      <b/>
      <sz val="10"/>
      <color theme="6" tint="-0.249977111117893"/>
      <name val="Calibri"/>
      <family val="2"/>
      <scheme val="major"/>
    </font>
    <font>
      <b/>
      <sz val="13"/>
      <color theme="0"/>
      <name val="Calibri"/>
      <family val="2"/>
      <scheme val="minor"/>
    </font>
    <font>
      <b/>
      <sz val="10"/>
      <color theme="3" tint="0.249977111117893"/>
      <name val="Calibri"/>
      <family val="2"/>
      <scheme val="major"/>
    </font>
    <font>
      <sz val="24"/>
      <color theme="3" tint="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9.9948118533890809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2" tint="-0.24994659260841701"/>
      </bottom>
      <diagonal/>
    </border>
  </borders>
  <cellStyleXfs count="12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6" fillId="4" borderId="0"/>
    <xf numFmtId="0" fontId="20" fillId="3" borderId="0" applyNumberFormat="0" applyBorder="0" applyProtection="0">
      <alignment horizontal="left" vertical="center"/>
    </xf>
    <xf numFmtId="0" fontId="21" fillId="4" borderId="0" applyNumberFormat="0" applyProtection="0">
      <alignment horizontal="left"/>
    </xf>
    <xf numFmtId="0" fontId="19" fillId="4" borderId="4" applyNumberFormat="0" applyAlignment="0" applyProtection="0"/>
    <xf numFmtId="164" fontId="18" fillId="4" borderId="0" applyAlignment="0" applyProtection="0"/>
    <xf numFmtId="0" fontId="17" fillId="0" borderId="0" applyNumberFormat="0" applyFill="0" applyBorder="0" applyAlignment="0" applyProtection="0"/>
  </cellStyleXfs>
  <cellXfs count="40">
    <xf numFmtId="0" fontId="0" fillId="0" borderId="0" xfId="0">
      <alignment vertical="center"/>
    </xf>
    <xf numFmtId="0" fontId="3" fillId="0" borderId="1" xfId="2" applyBorder="1" applyAlignment="1">
      <alignment vertical="center"/>
    </xf>
    <xf numFmtId="0" fontId="4" fillId="0" borderId="1" xfId="3" applyBorder="1" applyAlignment="1">
      <alignment vertical="center"/>
    </xf>
    <xf numFmtId="0" fontId="10" fillId="0" borderId="1" xfId="4" applyBorder="1" applyAlignment="1">
      <alignment vertical="center"/>
    </xf>
    <xf numFmtId="3" fontId="0" fillId="0" borderId="0" xfId="0" applyNumberFormat="1">
      <alignment vertical="center"/>
    </xf>
    <xf numFmtId="3" fontId="7" fillId="0" borderId="1" xfId="0" applyNumberFormat="1" applyFont="1" applyBorder="1">
      <alignment vertical="center"/>
    </xf>
    <xf numFmtId="3" fontId="8" fillId="0" borderId="1" xfId="0" applyNumberFormat="1" applyFont="1" applyBorder="1">
      <alignment vertical="center"/>
    </xf>
    <xf numFmtId="3" fontId="9" fillId="0" borderId="1" xfId="0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11" fillId="0" borderId="0" xfId="0" applyFont="1" applyAlignment="1"/>
    <xf numFmtId="0" fontId="0" fillId="0" borderId="0" xfId="0" applyBorder="1">
      <alignment vertical="center"/>
    </xf>
    <xf numFmtId="3" fontId="0" fillId="0" borderId="0" xfId="0" applyNumberFormat="1" applyBorder="1">
      <alignment vertical="center"/>
    </xf>
    <xf numFmtId="17" fontId="5" fillId="0" borderId="2" xfId="0" applyNumberFormat="1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NumberFormat="1" applyFont="1">
      <alignment vertical="center"/>
    </xf>
    <xf numFmtId="3" fontId="15" fillId="0" borderId="0" xfId="0" applyNumberFormat="1" applyFont="1">
      <alignment vertical="center"/>
    </xf>
    <xf numFmtId="0" fontId="14" fillId="2" borderId="0" xfId="0" applyFont="1" applyFill="1">
      <alignment vertical="center"/>
    </xf>
    <xf numFmtId="0" fontId="14" fillId="2" borderId="0" xfId="0" applyNumberFormat="1" applyFont="1" applyFill="1">
      <alignment vertical="center"/>
    </xf>
    <xf numFmtId="0" fontId="14" fillId="0" borderId="0" xfId="0" applyFont="1" applyFill="1">
      <alignment vertical="center"/>
    </xf>
    <xf numFmtId="0" fontId="0" fillId="0" borderId="3" xfId="0" applyBorder="1">
      <alignment vertical="center"/>
    </xf>
    <xf numFmtId="0" fontId="3" fillId="0" borderId="1" xfId="2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9" fontId="0" fillId="0" borderId="0" xfId="0" applyNumberFormat="1">
      <alignment vertical="center"/>
    </xf>
    <xf numFmtId="0" fontId="0" fillId="0" borderId="0" xfId="0" applyAlignment="1">
      <alignment vertical="center"/>
    </xf>
    <xf numFmtId="0" fontId="21" fillId="0" borderId="0" xfId="8" applyFill="1">
      <alignment horizontal="left"/>
    </xf>
    <xf numFmtId="165" fontId="22" fillId="5" borderId="0" xfId="10" applyNumberFormat="1" applyFont="1" applyFill="1" applyAlignment="1">
      <alignment horizontal="center" vertical="center"/>
    </xf>
    <xf numFmtId="165" fontId="23" fillId="5" borderId="0" xfId="10" applyNumberFormat="1" applyFont="1" applyFill="1" applyAlignment="1">
      <alignment horizontal="center" vertical="center"/>
    </xf>
    <xf numFmtId="0" fontId="24" fillId="5" borderId="4" xfId="9" applyFont="1" applyFill="1" applyAlignment="1">
      <alignment horizontal="center" vertical="center"/>
    </xf>
    <xf numFmtId="0" fontId="25" fillId="5" borderId="4" xfId="9" applyFont="1" applyFill="1" applyAlignment="1">
      <alignment horizontal="center" vertical="center"/>
    </xf>
    <xf numFmtId="0" fontId="26" fillId="6" borderId="0" xfId="0" applyFont="1" applyFill="1">
      <alignment vertical="center"/>
    </xf>
    <xf numFmtId="0" fontId="0" fillId="6" borderId="0" xfId="0" applyFill="1">
      <alignment vertical="center"/>
    </xf>
    <xf numFmtId="0" fontId="27" fillId="5" borderId="4" xfId="9" applyFont="1" applyFill="1" applyAlignment="1">
      <alignment horizontal="center" vertical="center"/>
    </xf>
    <xf numFmtId="165" fontId="28" fillId="5" borderId="0" xfId="10" applyNumberFormat="1" applyFont="1" applyFill="1" applyAlignment="1">
      <alignment horizontal="center" vertical="center"/>
    </xf>
    <xf numFmtId="0" fontId="14" fillId="7" borderId="0" xfId="0" applyFont="1" applyFill="1">
      <alignment vertical="center"/>
    </xf>
    <xf numFmtId="0" fontId="20" fillId="3" borderId="0" xfId="7" applyBorder="1" applyAlignment="1">
      <alignment horizontal="center" vertical="center"/>
    </xf>
  </cellXfs>
  <cellStyles count="12">
    <cellStyle name="Заголовок 1" xfId="2" builtinId="16" customBuiltin="1"/>
    <cellStyle name="Заголовок 1 2" xfId="8" xr:uid="{DC59EEC9-3324-455A-B6EE-D772960A502E}"/>
    <cellStyle name="Заголовок 2" xfId="3" builtinId="17" customBuiltin="1"/>
    <cellStyle name="Заголовок 2 2" xfId="9" xr:uid="{D3580677-3565-4CC3-93B1-C103FF314652}"/>
    <cellStyle name="Заголовок 3" xfId="4" builtinId="18" customBuiltin="1"/>
    <cellStyle name="Заголовок 3 2" xfId="10" xr:uid="{35F7765E-B8B7-4DDA-A901-A43111395D1D}"/>
    <cellStyle name="Заголовок 4" xfId="5" builtinId="19" customBuiltin="1"/>
    <cellStyle name="Заголовок 4 2" xfId="11" xr:uid="{AA84C63C-8FF9-421F-B94F-AAD46A532C14}"/>
    <cellStyle name="Название" xfId="1" builtinId="15" customBuiltin="1"/>
    <cellStyle name="Название 2" xfId="7" xr:uid="{32A8FF2A-7CA2-4174-AEEE-91F9C9EAE9A5}"/>
    <cellStyle name="Обычный" xfId="0" builtinId="0" customBuiltin="1"/>
    <cellStyle name="Обычный 2" xfId="6" xr:uid="{142EBB88-8110-42A6-AAFD-893A81633547}"/>
  </cellStyles>
  <dxfs count="372"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5"/>
        <name val="Calibri"/>
        <scheme val="minor"/>
      </font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numFmt numFmtId="3" formatCode="#,##0"/>
      <border diagonalUp="0" diagonalDown="0" outline="0">
        <left/>
        <right/>
        <top/>
        <bottom/>
      </border>
    </dxf>
    <dxf>
      <numFmt numFmtId="3" formatCode="#,##0"/>
    </dxf>
    <dxf>
      <border diagonalUp="0" diagonalDown="0" outline="0">
        <left/>
        <right/>
        <top/>
        <bottom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theme="2" tint="-9.991760002441481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4"/>
        <name val="Calibri"/>
        <scheme val="minor"/>
      </font>
      <numFmt numFmtId="3" formatCode="#,##0"/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>
        <top style="double">
          <color theme="3" tint="9.9948118533890809E-2"/>
        </top>
      </border>
    </dxf>
    <dxf>
      <font>
        <b val="0"/>
        <i val="0"/>
        <color theme="4"/>
      </font>
      <fill>
        <patternFill patternType="solid">
          <fgColor theme="1"/>
          <bgColor theme="2" tint="-9.9948118533890809E-2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  <dxf>
      <font>
        <b/>
        <i val="0"/>
        <color theme="2" tint="-0.499984740745262"/>
      </font>
    </dxf>
    <dxf>
      <font>
        <b/>
        <i val="0"/>
        <color theme="5"/>
      </font>
    </dxf>
    <dxf>
      <font>
        <b/>
        <i val="0"/>
        <color theme="2" tint="-0.24994659260841701"/>
      </font>
    </dxf>
    <dxf>
      <font>
        <b/>
        <i val="0"/>
        <color theme="2" tint="-0.499984740745262"/>
      </font>
    </dxf>
    <dxf>
      <font>
        <b/>
        <i val="0"/>
        <color theme="6"/>
      </font>
    </dxf>
    <dxf>
      <font>
        <b/>
        <i val="0"/>
        <color theme="2" tint="-0.24994659260841701"/>
      </font>
    </dxf>
    <dxf>
      <font>
        <b/>
        <i val="0"/>
        <color theme="2" tint="-0.499984740745262"/>
      </font>
    </dxf>
    <dxf>
      <font>
        <b/>
        <i val="0"/>
        <color theme="4"/>
      </font>
    </dxf>
    <dxf>
      <font>
        <b/>
        <i val="0"/>
        <color theme="2" tint="-0.24994659260841701"/>
      </font>
    </dxf>
  </dxfs>
  <tableStyles count="4" defaultTableStyle="Семейный бюджет: движение денежных средств" defaultPivotStyle="PivotStyleLight16">
    <tableStyle name="Семейный бюджет: движение денежных средств" pivot="0" count="3" xr9:uid="{00000000-0011-0000-FFFF-FFFF00000000}">
      <tableStyleElement type="wholeTable" dxfId="371"/>
      <tableStyleElement type="headerRow" dxfId="370"/>
      <tableStyleElement type="totalRow" dxfId="369"/>
    </tableStyle>
    <tableStyle name="Семейный бюджет: расходы" pivot="0" count="3" xr9:uid="{00000000-0011-0000-FFFF-FFFF01000000}">
      <tableStyleElement type="wholeTable" dxfId="368"/>
      <tableStyleElement type="headerRow" dxfId="367"/>
      <tableStyleElement type="totalRow" dxfId="366"/>
    </tableStyle>
    <tableStyle name="Семейный бюджет: доходы" pivot="0" count="3" xr9:uid="{00000000-0011-0000-FFFF-FFFF02000000}">
      <tableStyleElement type="wholeTable" dxfId="365"/>
      <tableStyleElement type="headerRow" dxfId="364"/>
      <tableStyleElement type="totalRow" dxfId="363"/>
    </tableStyle>
    <tableStyle name="Таблица личного бюджета" pivot="0" count="3" xr9:uid="{F7A14329-80CF-452F-98BD-7852D148FCA3}">
      <tableStyleElement type="wholeTable" dxfId="362"/>
      <tableStyleElement type="headerRow" dxfId="361"/>
      <tableStyleElement type="totalRow" dxfId="36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77563621717233344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данные'!$C$5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данные'!$D$4:$E$4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данные'!$D$5:$E$5</c:f>
              <c:numCache>
                <c:formatCode>General</c:formatCode>
                <c:ptCount val="2"/>
                <c:pt idx="0">
                  <c:v>100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D-434E-8945-7CECF44E59B1}"/>
            </c:ext>
          </c:extLst>
        </c:ser>
        <c:ser>
          <c:idx val="1"/>
          <c:order val="1"/>
          <c:tx>
            <c:strRef>
              <c:f>'Графические данные'!$C$6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данные'!$D$4:$E$4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данные'!$D$6:$E$6</c:f>
              <c:numCache>
                <c:formatCode>General</c:formatCode>
                <c:ptCount val="2"/>
                <c:pt idx="0">
                  <c:v>600</c:v>
                </c:pt>
                <c:pt idx="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D-434E-8945-7CECF44E59B1}"/>
            </c:ext>
          </c:extLst>
        </c:ser>
        <c:ser>
          <c:idx val="2"/>
          <c:order val="2"/>
          <c:tx>
            <c:strRef>
              <c:f>'Графические данные'!$C$7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данные'!$D$4:$E$4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данные'!$D$7:$E$7</c:f>
              <c:numCache>
                <c:formatCode>General</c:formatCode>
                <c:ptCount val="2"/>
                <c:pt idx="0">
                  <c:v>500</c:v>
                </c:pt>
                <c:pt idx="1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BD-434E-8945-7CECF44E5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данные'!$C$68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данные'!$D$67:$E$67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данные'!$D$68:$E$68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E1-4E2C-9158-BCEEF0D15D22}"/>
            </c:ext>
          </c:extLst>
        </c:ser>
        <c:ser>
          <c:idx val="1"/>
          <c:order val="1"/>
          <c:tx>
            <c:strRef>
              <c:f>'Графические данные'!$C$69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данные'!$D$67:$E$67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данные'!$D$69:$E$69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1E1-4E2C-9158-BCEEF0D15D22}"/>
            </c:ext>
          </c:extLst>
        </c:ser>
        <c:ser>
          <c:idx val="2"/>
          <c:order val="2"/>
          <c:tx>
            <c:strRef>
              <c:f>'Графические данные'!$C$70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данные'!$D$67:$E$67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данные'!$D$70:$E$70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01-4240-8165-CBFEFE2C4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данные'!$C$75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данные'!$D$74:$E$74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данные'!$D$75:$E$75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7E-40B5-9189-296C4B788F9C}"/>
            </c:ext>
          </c:extLst>
        </c:ser>
        <c:ser>
          <c:idx val="1"/>
          <c:order val="1"/>
          <c:tx>
            <c:strRef>
              <c:f>'Графические данные'!$C$76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данные'!$D$74:$E$74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данные'!$D$76:$E$76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7E-40B5-9189-296C4B788F9C}"/>
            </c:ext>
          </c:extLst>
        </c:ser>
        <c:ser>
          <c:idx val="2"/>
          <c:order val="2"/>
          <c:tx>
            <c:strRef>
              <c:f>'Графические данные'!$C$77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данные'!$D$74:$E$74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данные'!$D$77:$E$77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0-4DB4-8B0A-BDBDA1D77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данные'!$C$82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данные'!$D$81:$E$81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данные'!$D$82:$E$82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EC-41F4-B97E-20A3E44FC5F6}"/>
            </c:ext>
          </c:extLst>
        </c:ser>
        <c:ser>
          <c:idx val="1"/>
          <c:order val="1"/>
          <c:tx>
            <c:strRef>
              <c:f>'Графические данные'!$C$83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данные'!$D$81:$E$81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данные'!$D$83:$E$83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2EC-41F4-B97E-20A3E44FC5F6}"/>
            </c:ext>
          </c:extLst>
        </c:ser>
        <c:ser>
          <c:idx val="2"/>
          <c:order val="2"/>
          <c:tx>
            <c:strRef>
              <c:f>'Графические данные'!$C$84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данные'!$D$81:$E$81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данные'!$D$84:$E$84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84-4BB9-8A8B-72374C1C7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349955885043119"/>
          <c:y val="4.1568151832956132E-2"/>
          <c:w val="0.67371022743361519"/>
          <c:h val="0.78521554440591468"/>
        </c:manualLayout>
      </c:layout>
      <c:bar3DChart>
        <c:barDir val="col"/>
        <c:grouping val="clustered"/>
        <c:varyColors val="0"/>
        <c:ser>
          <c:idx val="0"/>
          <c:order val="0"/>
          <c:tx>
            <c:v>Доходы</c:v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'ИТОГИ 2026г.'!$E$8</c:f>
              <c:numCache>
                <c:formatCode>#\ ##0\ "₽"</c:formatCode>
                <c:ptCount val="1"/>
                <c:pt idx="0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1-43F7-A62E-F809F30225DE}"/>
            </c:ext>
          </c:extLst>
        </c:ser>
        <c:ser>
          <c:idx val="1"/>
          <c:order val="1"/>
          <c:tx>
            <c:v>Расходы</c:v>
          </c:tx>
          <c:spPr>
            <a:solidFill>
              <a:schemeClr val="accent3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'ИТОГИ 2026г.'!$E$10</c:f>
              <c:numCache>
                <c:formatCode>#\ ##0\ "₽"</c:formatCode>
                <c:ptCount val="1"/>
                <c:pt idx="0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1-43F7-A62E-F809F30225DE}"/>
            </c:ext>
          </c:extLst>
        </c:ser>
        <c:ser>
          <c:idx val="2"/>
          <c:order val="2"/>
          <c:tx>
            <c:v>Доход - Расход</c:v>
          </c:tx>
          <c:spPr>
            <a:solidFill>
              <a:schemeClr val="accent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'ИТОГИ 2026г.'!$E$12</c:f>
              <c:numCache>
                <c:formatCode>#\ ##0\ "₽"</c:formatCode>
                <c:ptCount val="1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81-43F7-A62E-F809F3022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8014136"/>
        <c:axId val="858016488"/>
        <c:axId val="0"/>
      </c:bar3DChart>
      <c:catAx>
        <c:axId val="858014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58016488"/>
        <c:crosses val="autoZero"/>
        <c:auto val="1"/>
        <c:lblAlgn val="ctr"/>
        <c:lblOffset val="100"/>
        <c:noMultiLvlLbl val="0"/>
      </c:catAx>
      <c:valAx>
        <c:axId val="858016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₽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5801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0" i="0" u="none" strike="noStrike" baseline="0">
                <a:solidFill>
                  <a:srgbClr val="00B050"/>
                </a:solidFill>
                <a:latin typeface="Calibri"/>
              </a:rPr>
              <a:t>Доходы по месяцам 2026г.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4"/>
          <c:order val="0"/>
          <c:spPr>
            <a:ln>
              <a:solidFill>
                <a:schemeClr val="accent2"/>
              </a:solidFill>
            </a:ln>
          </c:spPr>
          <c:val>
            <c:numRef>
              <c:f>('Графические данные'!$E$6,'Графические данные'!$E$13,'Графические данные'!$E$20,'Графические данные'!$E$27,'Графические данные'!$E$34,'Графические данные'!$E$41,'Графические данные'!$E$48,'Графические данные'!$E$55,'Графические данные'!$E$62,'Графические данные'!$E$69,'Графические данные'!$E$76,'Графические данные'!$E$83)</c:f>
              <c:numCache>
                <c:formatCode>#,##0</c:formatCode>
                <c:ptCount val="12"/>
                <c:pt idx="0" formatCode="General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431-4BE2-8B92-C7069D314907}"/>
            </c:ext>
          </c:extLst>
        </c:ser>
        <c:ser>
          <c:idx val="5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val>
            <c:numRef>
              <c:f>('Графические данные'!$E$6,'Графические данные'!$E$13,'Графические данные'!$E$20,'Графические данные'!$E$27,'Графические данные'!$E$34,'Графические данные'!$E$41,'Графические данные'!$E$48,'Графические данные'!$E$55,'Графические данные'!$E$62,'Графические данные'!$E$69,'Графические данные'!$E$76,'Графические данные'!$E$83)</c:f>
              <c:numCache>
                <c:formatCode>#,##0</c:formatCode>
                <c:ptCount val="12"/>
                <c:pt idx="0" formatCode="General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431-4BE2-8B92-C7069D314907}"/>
            </c:ext>
          </c:extLst>
        </c:ser>
        <c:ser>
          <c:idx val="6"/>
          <c:order val="2"/>
          <c:spPr>
            <a:ln>
              <a:solidFill>
                <a:schemeClr val="accent2"/>
              </a:solidFill>
            </a:ln>
          </c:spPr>
          <c:val>
            <c:numRef>
              <c:f>('Графические данные'!$E$6,'Графические данные'!$E$13,'Графические данные'!$E$20,'Графические данные'!$E$27,'Графические данные'!$E$34,'Графические данные'!$E$41,'Графические данные'!$E$48,'Графические данные'!$E$55,'Графические данные'!$E$62,'Графические данные'!$E$69,'Графические данные'!$E$76,'Графические данные'!$E$83)</c:f>
              <c:numCache>
                <c:formatCode>#,##0</c:formatCode>
                <c:ptCount val="12"/>
                <c:pt idx="0" formatCode="General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431-4BE2-8B92-C7069D314907}"/>
            </c:ext>
          </c:extLst>
        </c:ser>
        <c:ser>
          <c:idx val="7"/>
          <c:order val="3"/>
          <c:spPr>
            <a:ln w="28575" cap="rnd">
              <a:solidFill>
                <a:schemeClr val="accent2"/>
              </a:solidFill>
              <a:round/>
            </a:ln>
            <a:effectLst/>
          </c:spPr>
          <c:val>
            <c:numRef>
              <c:f>('Графические данные'!$E$6,'Графические данные'!$E$13,'Графические данные'!$E$20,'Графические данные'!$E$27,'Графические данные'!$E$34,'Графические данные'!$E$41,'Графические данные'!$E$48,'Графические данные'!$E$55,'Графические данные'!$E$62,'Графические данные'!$E$69,'Графические данные'!$E$76,'Графические данные'!$E$83)</c:f>
              <c:numCache>
                <c:formatCode>#,##0</c:formatCode>
                <c:ptCount val="12"/>
                <c:pt idx="0" formatCode="General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431-4BE2-8B92-C7069D314907}"/>
            </c:ext>
          </c:extLst>
        </c:ser>
        <c:ser>
          <c:idx val="2"/>
          <c:order val="4"/>
          <c:spPr>
            <a:ln>
              <a:solidFill>
                <a:schemeClr val="accent2"/>
              </a:solidFill>
            </a:ln>
          </c:spPr>
          <c:val>
            <c:numRef>
              <c:f>('Графические данные'!$E$6,'Графические данные'!$E$13,'Графические данные'!$E$20,'Графические данные'!$E$27,'Графические данные'!$E$34,'Графические данные'!$E$41,'Графические данные'!$E$48,'Графические данные'!$E$55,'Графические данные'!$E$62,'Графические данные'!$E$69,'Графические данные'!$E$76,'Графические данные'!$E$83)</c:f>
              <c:numCache>
                <c:formatCode>#,##0</c:formatCode>
                <c:ptCount val="12"/>
                <c:pt idx="0" formatCode="General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31-4BE2-8B92-C7069D314907}"/>
            </c:ext>
          </c:extLst>
        </c:ser>
        <c:ser>
          <c:idx val="3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val>
            <c:numRef>
              <c:f>('Графические данные'!$E$6,'Графические данные'!$E$13,'Графические данные'!$E$20,'Графические данные'!$E$27,'Графические данные'!$E$34,'Графические данные'!$E$41,'Графические данные'!$E$48,'Графические данные'!$E$55,'Графические данные'!$E$62,'Графические данные'!$E$69,'Графические данные'!$E$76,'Графические данные'!$E$83)</c:f>
              <c:numCache>
                <c:formatCode>#,##0</c:formatCode>
                <c:ptCount val="12"/>
                <c:pt idx="0" formatCode="General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431-4BE2-8B92-C7069D314907}"/>
            </c:ext>
          </c:extLst>
        </c:ser>
        <c:ser>
          <c:idx val="1"/>
          <c:order val="6"/>
          <c:spPr>
            <a:ln>
              <a:solidFill>
                <a:schemeClr val="accent2"/>
              </a:solidFill>
            </a:ln>
          </c:spPr>
          <c:val>
            <c:numRef>
              <c:f>('Графические данные'!$E$6,'Графические данные'!$E$13,'Графические данные'!$E$20,'Графические данные'!$E$27,'Графические данные'!$E$34,'Графические данные'!$E$41,'Графические данные'!$E$48,'Графические данные'!$E$55,'Графические данные'!$E$62,'Графические данные'!$E$69,'Графические данные'!$E$76,'Графические данные'!$E$83)</c:f>
              <c:numCache>
                <c:formatCode>#,##0</c:formatCode>
                <c:ptCount val="12"/>
                <c:pt idx="0" formatCode="General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431-4BE2-8B92-C7069D314907}"/>
            </c:ext>
          </c:extLst>
        </c:ser>
        <c:ser>
          <c:idx val="0"/>
          <c:order val="7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lt1"/>
                </a:solidFill>
              </a:ln>
              <a:effectLst/>
            </c:spPr>
          </c:marker>
          <c:val>
            <c:numRef>
              <c:f>('Графические данные'!$E$6,'Графические данные'!$E$13,'Графические данные'!$E$20,'Графические данные'!$E$27,'Графические данные'!$E$34,'Графические данные'!$E$41,'Графические данные'!$E$48,'Графические данные'!$E$55,'Графические данные'!$E$62,'Графические данные'!$E$69,'Графические данные'!$E$76,'Графические данные'!$E$83)</c:f>
              <c:numCache>
                <c:formatCode>#,##0</c:formatCode>
                <c:ptCount val="12"/>
                <c:pt idx="0" formatCode="General">
                  <c:v>800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431-4BE2-8B92-C7069D314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29391"/>
        <c:axId val="454325231"/>
      </c:lineChart>
      <c:catAx>
        <c:axId val="4543293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325231"/>
        <c:crosses val="autoZero"/>
        <c:auto val="1"/>
        <c:lblAlgn val="ctr"/>
        <c:lblOffset val="100"/>
        <c:noMultiLvlLbl val="0"/>
      </c:catAx>
      <c:valAx>
        <c:axId val="45432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329391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</a:rPr>
              <a:t>Расходы по месяцам 2026г.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cap="rnd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1"/>
              </a:solidFill>
              <a:ln>
                <a:headEnd type="none"/>
                <a:tailEnd type="oval"/>
              </a:ln>
            </c:spPr>
          </c:marker>
          <c:val>
            <c:numRef>
              <c:f>('Графические данные'!$E$7,'Графические данные'!$E$14,'Графические данные'!$E$21,'Графические данные'!$E$28,'Графические данные'!$E$35,'Графические данные'!$E$42,'Графические данные'!$E$49,'Графические данные'!$E$56,'Графические данные'!$E$63,'Графические данные'!$E$70,'Графические данные'!$E$77,'Графические данные'!$E$84)</c:f>
              <c:numCache>
                <c:formatCode>#,##0</c:formatCode>
                <c:ptCount val="12"/>
                <c:pt idx="0" formatCode="General">
                  <c:v>600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C-4ABE-AD71-E86120351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29391"/>
        <c:axId val="454325231"/>
      </c:lineChart>
      <c:catAx>
        <c:axId val="4543293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325231"/>
        <c:crosses val="autoZero"/>
        <c:auto val="1"/>
        <c:lblAlgn val="ctr"/>
        <c:lblOffset val="100"/>
        <c:noMultiLvlLbl val="0"/>
      </c:catAx>
      <c:valAx>
        <c:axId val="45432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329391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</a:rPr>
              <a:t>Доход</a:t>
            </a:r>
            <a:r>
              <a:rPr lang="en-US" sz="14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</a:rPr>
              <a:t>/</a:t>
            </a:r>
            <a:r>
              <a:rPr lang="ru-RU" sz="14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</a:rPr>
              <a:t>Расход по месяцам 2026г.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4"/>
          <c:order val="0"/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</c:spPr>
          </c:marker>
          <c:val>
            <c:numRef>
              <c:f>('Графические данные'!$E$5,'Графические данные'!$E$12,'Графические данные'!$E$19,'Графические данные'!$E$26,'Графические данные'!$E$33,'Графические данные'!$E$40,'Графические данные'!$E$47,'Графические данные'!$E$54,'Графические данные'!$E$61,'Графические данные'!$E$68,'Графические данные'!$E$75,'Графические данные'!$E$82)</c:f>
              <c:numCache>
                <c:formatCode>#,##0</c:formatCode>
                <c:ptCount val="12"/>
                <c:pt idx="0" formatCode="General">
                  <c:v>200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F-4226-A27D-717775A30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29391"/>
        <c:axId val="454325231"/>
      </c:lineChart>
      <c:catAx>
        <c:axId val="4543293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325231"/>
        <c:crosses val="autoZero"/>
        <c:auto val="1"/>
        <c:lblAlgn val="ctr"/>
        <c:lblOffset val="100"/>
        <c:noMultiLvlLbl val="0"/>
      </c:catAx>
      <c:valAx>
        <c:axId val="45432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329391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данные'!$C$12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данные'!$D$11:$E$11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данные'!$D$12:$E$12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13-4E1C-8B57-ACA268E955AF}"/>
            </c:ext>
          </c:extLst>
        </c:ser>
        <c:ser>
          <c:idx val="1"/>
          <c:order val="1"/>
          <c:tx>
            <c:strRef>
              <c:f>'Графические данные'!$C$13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данные'!$D$11:$E$11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данные'!$D$13:$E$13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13-4E1C-8B57-ACA268E955AF}"/>
            </c:ext>
          </c:extLst>
        </c:ser>
        <c:ser>
          <c:idx val="2"/>
          <c:order val="2"/>
          <c:tx>
            <c:strRef>
              <c:f>'Графические данные'!$C$14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данные'!$D$11:$E$11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данные'!$D$14:$E$14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E7-417A-90FC-1D9D9CBD7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данные'!$C$19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данные'!$D$18:$E$18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данные'!$D$19:$E$19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D5-46E3-A9A7-3494FCFA0775}"/>
            </c:ext>
          </c:extLst>
        </c:ser>
        <c:ser>
          <c:idx val="1"/>
          <c:order val="1"/>
          <c:tx>
            <c:strRef>
              <c:f>'Графические данные'!$C$20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данные'!$D$18:$E$18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данные'!$D$20:$E$20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CD5-46E3-A9A7-3494FCFA0775}"/>
            </c:ext>
          </c:extLst>
        </c:ser>
        <c:ser>
          <c:idx val="2"/>
          <c:order val="2"/>
          <c:tx>
            <c:strRef>
              <c:f>'Графические данные'!$C$21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данные'!$D$18:$E$18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данные'!$D$21:$E$21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4-4AAD-9A62-CC917D43C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данные'!$C$26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данные'!$D$25:$E$25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данные'!$D$26:$E$26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49-4E09-900D-7ADF9525185E}"/>
            </c:ext>
          </c:extLst>
        </c:ser>
        <c:ser>
          <c:idx val="1"/>
          <c:order val="1"/>
          <c:tx>
            <c:strRef>
              <c:f>'Графические данные'!$C$27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данные'!$D$25:$E$25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данные'!$D$27:$E$27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49-4E09-900D-7ADF9525185E}"/>
            </c:ext>
          </c:extLst>
        </c:ser>
        <c:ser>
          <c:idx val="2"/>
          <c:order val="2"/>
          <c:tx>
            <c:strRef>
              <c:f>'Графические данные'!$C$28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данные'!$D$25:$E$25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данные'!$D$28:$E$28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CF-4057-A1E7-E4BC472FB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данные'!$C$33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данные'!$D$32:$E$32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данные'!$D$33:$E$33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6E-4FEE-BBE4-534C18CCCB87}"/>
            </c:ext>
          </c:extLst>
        </c:ser>
        <c:ser>
          <c:idx val="1"/>
          <c:order val="1"/>
          <c:tx>
            <c:strRef>
              <c:f>'Графические данные'!$C$34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данные'!$D$32:$E$32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данные'!$D$34:$E$34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66E-4FEE-BBE4-534C18CCCB87}"/>
            </c:ext>
          </c:extLst>
        </c:ser>
        <c:ser>
          <c:idx val="2"/>
          <c:order val="2"/>
          <c:tx>
            <c:strRef>
              <c:f>'Графические данные'!$C$35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данные'!$D$32:$E$32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данные'!$D$35:$E$35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0-4DC2-85B0-AAE7CDE57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данные'!$C$40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данные'!$D$39:$E$39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данные'!$D$40:$E$40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B5-4CD5-8973-60C0CD1EA761}"/>
            </c:ext>
          </c:extLst>
        </c:ser>
        <c:ser>
          <c:idx val="1"/>
          <c:order val="1"/>
          <c:tx>
            <c:strRef>
              <c:f>'Графические данные'!$C$41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данные'!$D$39:$E$39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данные'!$D$41:$E$41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FB5-4CD5-8973-60C0CD1EA761}"/>
            </c:ext>
          </c:extLst>
        </c:ser>
        <c:ser>
          <c:idx val="2"/>
          <c:order val="2"/>
          <c:tx>
            <c:strRef>
              <c:f>'Графические данные'!$C$42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данные'!$D$39:$E$39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данные'!$D$42:$E$42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C-4AAD-B16C-D12E7E040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данные'!$C$47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данные'!$D$46:$E$46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данные'!$D$47:$E$47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4F-4F7C-A1E8-3346C2CC26E0}"/>
            </c:ext>
          </c:extLst>
        </c:ser>
        <c:ser>
          <c:idx val="1"/>
          <c:order val="1"/>
          <c:tx>
            <c:strRef>
              <c:f>'Графические данные'!$C$48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данные'!$D$46:$E$46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данные'!$D$48:$E$48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4F-4F7C-A1E8-3346C2CC26E0}"/>
            </c:ext>
          </c:extLst>
        </c:ser>
        <c:ser>
          <c:idx val="2"/>
          <c:order val="2"/>
          <c:tx>
            <c:strRef>
              <c:f>'Графические данные'!$C$49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данные'!$D$46:$E$46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данные'!$D$49:$E$49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4-48F6-B60F-52BF73651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данные'!$C$54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данные'!$D$53:$E$53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данные'!$D$54:$E$54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66-4F2C-89BA-5F97441992DA}"/>
            </c:ext>
          </c:extLst>
        </c:ser>
        <c:ser>
          <c:idx val="1"/>
          <c:order val="1"/>
          <c:tx>
            <c:strRef>
              <c:f>'Графические данные'!$C$55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данные'!$D$53:$E$53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данные'!$D$55:$E$55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66-4F2C-89BA-5F97441992DA}"/>
            </c:ext>
          </c:extLst>
        </c:ser>
        <c:ser>
          <c:idx val="2"/>
          <c:order val="2"/>
          <c:tx>
            <c:strRef>
              <c:f>'Графические данные'!$C$56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данные'!$D$53:$E$53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данные'!$D$56:$E$56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9-484D-A837-F746D8B76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64531097435343"/>
          <c:y val="0.13710580090580649"/>
          <c:w val="0.82358496143613447"/>
          <c:h val="0.74505498246072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'Графические данные'!$C$61</c:f>
              <c:strCache>
                <c:ptCount val="1"/>
                <c:pt idx="0">
                  <c:v>Движение денежных средств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данные'!$D$60:$E$60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данные'!$D$61:$E$61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D5-4C62-B2D0-451FD8B89E4D}"/>
            </c:ext>
          </c:extLst>
        </c:ser>
        <c:ser>
          <c:idx val="1"/>
          <c:order val="1"/>
          <c:tx>
            <c:strRef>
              <c:f>'Графические данные'!$C$62</c:f>
              <c:strCache>
                <c:ptCount val="1"/>
                <c:pt idx="0">
                  <c:v>Доходы за месяц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данные'!$D$60:$E$60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данные'!$D$62:$E$62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D5-4C62-B2D0-451FD8B89E4D}"/>
            </c:ext>
          </c:extLst>
        </c:ser>
        <c:ser>
          <c:idx val="2"/>
          <c:order val="2"/>
          <c:tx>
            <c:strRef>
              <c:f>'Графические данные'!$C$63</c:f>
              <c:strCache>
                <c:ptCount val="1"/>
                <c:pt idx="0">
                  <c:v>Расходы за месяц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'Графические данные'!$D$60:$E$60</c:f>
              <c:strCache>
                <c:ptCount val="2"/>
                <c:pt idx="0">
                  <c:v>Планируемые</c:v>
                </c:pt>
                <c:pt idx="1">
                  <c:v>Фактические</c:v>
                </c:pt>
              </c:strCache>
            </c:strRef>
          </c:cat>
          <c:val>
            <c:numRef>
              <c:f>'Графические данные'!$D$63:$E$63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9-4716-96C6-820C4658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-11"/>
        <c:axId val="520388072"/>
        <c:axId val="520392776"/>
      </c:barChart>
      <c:catAx>
        <c:axId val="520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0392776"/>
        <c:crosses val="autoZero"/>
        <c:auto val="1"/>
        <c:lblAlgn val="ctr"/>
        <c:lblOffset val="100"/>
        <c:noMultiLvlLbl val="0"/>
      </c:catAx>
      <c:valAx>
        <c:axId val="520392776"/>
        <c:scaling>
          <c:orientation val="minMax"/>
        </c:scaling>
        <c:delete val="0"/>
        <c:axPos val="l"/>
        <c:numFmt formatCode="#,##0\ &quot;₽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bg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ru-RU"/>
          </a:p>
        </c:txPr>
        <c:crossAx val="520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1.png"/><Relationship Id="rId1" Type="http://schemas.openxmlformats.org/officeDocument/2006/relationships/chart" Target="../charts/chart13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36576</xdr:colOff>
      <xdr:row>2</xdr:row>
      <xdr:rowOff>48768</xdr:rowOff>
    </xdr:from>
    <xdr:to>
      <xdr:col>0</xdr:col>
      <xdr:colOff>696306</xdr:colOff>
      <xdr:row>6</xdr:row>
      <xdr:rowOff>1362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9A2F9A8-6C6B-4EF2-A87A-6239E1B4B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" y="402336"/>
          <a:ext cx="659730" cy="659730"/>
        </a:xfrm>
        <a:prstGeom prst="rect">
          <a:avLst/>
        </a:prstGeom>
      </xdr:spPr>
    </xdr:pic>
    <xdr:clientData/>
  </xdr:twoCellAnchor>
  <xdr:twoCellAnchor editAs="absolute">
    <xdr:from>
      <xdr:col>5</xdr:col>
      <xdr:colOff>36002</xdr:colOff>
      <xdr:row>2</xdr:row>
      <xdr:rowOff>104410</xdr:rowOff>
    </xdr:from>
    <xdr:to>
      <xdr:col>6</xdr:col>
      <xdr:colOff>1523</xdr:colOff>
      <xdr:row>6</xdr:row>
      <xdr:rowOff>30480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491BE4F-1EE9-41E8-BEF0-216C8EE51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5138" y="457978"/>
          <a:ext cx="689421" cy="633206"/>
        </a:xfrm>
        <a:prstGeom prst="rect">
          <a:avLst/>
        </a:prstGeom>
      </xdr:spPr>
    </xdr:pic>
    <xdr:clientData/>
  </xdr:twoCellAnchor>
  <xdr:twoCellAnchor editAs="absolute">
    <xdr:from>
      <xdr:col>0</xdr:col>
      <xdr:colOff>36576</xdr:colOff>
      <xdr:row>86</xdr:row>
      <xdr:rowOff>0</xdr:rowOff>
    </xdr:from>
    <xdr:to>
      <xdr:col>0</xdr:col>
      <xdr:colOff>696306</xdr:colOff>
      <xdr:row>89</xdr:row>
      <xdr:rowOff>129378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0DAAA2E-4ED8-4463-BCBD-48DD7497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" y="15203424"/>
          <a:ext cx="659730" cy="659730"/>
        </a:xfrm>
        <a:prstGeom prst="rect">
          <a:avLst/>
        </a:prstGeom>
      </xdr:spPr>
    </xdr:pic>
    <xdr:clientData/>
  </xdr:twoCellAnchor>
  <xdr:twoCellAnchor editAs="absolute">
    <xdr:from>
      <xdr:col>5</xdr:col>
      <xdr:colOff>36002</xdr:colOff>
      <xdr:row>86</xdr:row>
      <xdr:rowOff>55642</xdr:rowOff>
    </xdr:from>
    <xdr:to>
      <xdr:col>6</xdr:col>
      <xdr:colOff>1523</xdr:colOff>
      <xdr:row>89</xdr:row>
      <xdr:rowOff>158496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25594E8-8B86-4637-885B-54531C878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5138" y="15259066"/>
          <a:ext cx="689421" cy="633206"/>
        </a:xfrm>
        <a:prstGeom prst="rect">
          <a:avLst/>
        </a:prstGeom>
      </xdr:spPr>
    </xdr:pic>
    <xdr:clientData/>
  </xdr:twoCellAnchor>
  <xdr:twoCellAnchor editAs="absolute">
    <xdr:from>
      <xdr:col>0</xdr:col>
      <xdr:colOff>43542</xdr:colOff>
      <xdr:row>43</xdr:row>
      <xdr:rowOff>119743</xdr:rowOff>
    </xdr:from>
    <xdr:to>
      <xdr:col>0</xdr:col>
      <xdr:colOff>703272</xdr:colOff>
      <xdr:row>47</xdr:row>
      <xdr:rowOff>72337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74716D1-FFA1-47DA-8F47-93D588984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" y="7609114"/>
          <a:ext cx="659730" cy="649280"/>
        </a:xfrm>
        <a:prstGeom prst="rect">
          <a:avLst/>
        </a:prstGeom>
      </xdr:spPr>
    </xdr:pic>
    <xdr:clientData/>
  </xdr:twoCellAnchor>
  <xdr:twoCellAnchor editAs="absolute">
    <xdr:from>
      <xdr:col>5</xdr:col>
      <xdr:colOff>42968</xdr:colOff>
      <xdr:row>44</xdr:row>
      <xdr:rowOff>1213</xdr:rowOff>
    </xdr:from>
    <xdr:to>
      <xdr:col>6</xdr:col>
      <xdr:colOff>3046</xdr:colOff>
      <xdr:row>47</xdr:row>
      <xdr:rowOff>101455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3DEE7CB-E821-4351-A4FE-271A803E8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425" y="7664756"/>
          <a:ext cx="689421" cy="6227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2312035</xdr:colOff>
      <xdr:row>1</xdr:row>
      <xdr:rowOff>68580</xdr:rowOff>
    </xdr:from>
    <xdr:to>
      <xdr:col>4</xdr:col>
      <xdr:colOff>1203960</xdr:colOff>
      <xdr:row>12</xdr:row>
      <xdr:rowOff>163097</xdr:rowOff>
    </xdr:to>
    <xdr:graphicFrame macro="">
      <xdr:nvGraphicFramePr>
        <xdr:cNvPr id="2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2990FD6A-948E-4A16-859C-B285C16B6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1488142</xdr:colOff>
      <xdr:row>0</xdr:row>
      <xdr:rowOff>564777</xdr:rowOff>
    </xdr:from>
    <xdr:to>
      <xdr:col>1</xdr:col>
      <xdr:colOff>2147872</xdr:colOff>
      <xdr:row>2</xdr:row>
      <xdr:rowOff>310107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F5EC803-8713-4E3B-B63E-5FEB4860A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1" y="564777"/>
          <a:ext cx="659730" cy="6597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2312035</xdr:colOff>
      <xdr:row>1</xdr:row>
      <xdr:rowOff>68580</xdr:rowOff>
    </xdr:from>
    <xdr:to>
      <xdr:col>4</xdr:col>
      <xdr:colOff>1203960</xdr:colOff>
      <xdr:row>12</xdr:row>
      <xdr:rowOff>163097</xdr:rowOff>
    </xdr:to>
    <xdr:graphicFrame macro="">
      <xdr:nvGraphicFramePr>
        <xdr:cNvPr id="2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83D92427-613A-4555-AD3A-5DD0B4135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1488139</xdr:colOff>
      <xdr:row>0</xdr:row>
      <xdr:rowOff>564776</xdr:rowOff>
    </xdr:from>
    <xdr:to>
      <xdr:col>1</xdr:col>
      <xdr:colOff>2147869</xdr:colOff>
      <xdr:row>2</xdr:row>
      <xdr:rowOff>310106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9584FD3-8009-4F13-8A3A-93FBF742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398" y="564776"/>
          <a:ext cx="659730" cy="6597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2312035</xdr:colOff>
      <xdr:row>1</xdr:row>
      <xdr:rowOff>68580</xdr:rowOff>
    </xdr:from>
    <xdr:to>
      <xdr:col>4</xdr:col>
      <xdr:colOff>1203960</xdr:colOff>
      <xdr:row>12</xdr:row>
      <xdr:rowOff>163097</xdr:rowOff>
    </xdr:to>
    <xdr:graphicFrame macro="">
      <xdr:nvGraphicFramePr>
        <xdr:cNvPr id="2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44396F62-F733-4CCB-9D2A-21A50EC60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1488141</xdr:colOff>
      <xdr:row>0</xdr:row>
      <xdr:rowOff>564777</xdr:rowOff>
    </xdr:from>
    <xdr:to>
      <xdr:col>1</xdr:col>
      <xdr:colOff>2147871</xdr:colOff>
      <xdr:row>2</xdr:row>
      <xdr:rowOff>310107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35DCD79-2BA6-488D-9659-379AFF383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564777"/>
          <a:ext cx="659730" cy="6597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2312035</xdr:colOff>
      <xdr:row>1</xdr:row>
      <xdr:rowOff>68580</xdr:rowOff>
    </xdr:from>
    <xdr:to>
      <xdr:col>4</xdr:col>
      <xdr:colOff>1203960</xdr:colOff>
      <xdr:row>12</xdr:row>
      <xdr:rowOff>163097</xdr:rowOff>
    </xdr:to>
    <xdr:graphicFrame macro="">
      <xdr:nvGraphicFramePr>
        <xdr:cNvPr id="2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D1EA83E2-0AAE-4B31-9309-D1539C163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1488141</xdr:colOff>
      <xdr:row>0</xdr:row>
      <xdr:rowOff>564777</xdr:rowOff>
    </xdr:from>
    <xdr:to>
      <xdr:col>1</xdr:col>
      <xdr:colOff>2147871</xdr:colOff>
      <xdr:row>2</xdr:row>
      <xdr:rowOff>310107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CC1E01F-EB56-4135-B9F6-5FABE9881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564777"/>
          <a:ext cx="659730" cy="65973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99060</xdr:rowOff>
    </xdr:from>
    <xdr:to>
      <xdr:col>2</xdr:col>
      <xdr:colOff>2552700</xdr:colOff>
      <xdr:row>12</xdr:row>
      <xdr:rowOff>15240</xdr:rowOff>
    </xdr:to>
    <xdr:graphicFrame macro="">
      <xdr:nvGraphicFramePr>
        <xdr:cNvPr id="3" name="chtДоходыРасходы" descr="Гистограмма, показывающая доходы и расходы." title="Доходы и расходы">
          <a:extLst>
            <a:ext uri="{FF2B5EF4-FFF2-40B4-BE49-F238E27FC236}">
              <a16:creationId xmlns:a16="http://schemas.microsoft.com/office/drawing/2014/main" id="{6A599BCB-82E3-46D7-AA50-214A3CE6A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937260</xdr:colOff>
      <xdr:row>1</xdr:row>
      <xdr:rowOff>152400</xdr:rowOff>
    </xdr:from>
    <xdr:to>
      <xdr:col>4</xdr:col>
      <xdr:colOff>1714500</xdr:colOff>
      <xdr:row>5</xdr:row>
      <xdr:rowOff>45720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700978A-B3CA-4D70-AB7F-E24AD449D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4940" y="480060"/>
          <a:ext cx="777240" cy="777240"/>
        </a:xfrm>
        <a:prstGeom prst="rect">
          <a:avLst/>
        </a:prstGeom>
      </xdr:spPr>
    </xdr:pic>
    <xdr:clientData/>
  </xdr:twoCellAnchor>
  <xdr:twoCellAnchor>
    <xdr:from>
      <xdr:col>1</xdr:col>
      <xdr:colOff>166294</xdr:colOff>
      <xdr:row>15</xdr:row>
      <xdr:rowOff>117436</xdr:rowOff>
    </xdr:from>
    <xdr:to>
      <xdr:col>3</xdr:col>
      <xdr:colOff>65315</xdr:colOff>
      <xdr:row>25</xdr:row>
      <xdr:rowOff>106679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16FFE1F2-0F08-4558-B461-01100AEE8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15240</xdr:colOff>
      <xdr:row>15</xdr:row>
      <xdr:rowOff>114300</xdr:rowOff>
    </xdr:from>
    <xdr:to>
      <xdr:col>5</xdr:col>
      <xdr:colOff>563880</xdr:colOff>
      <xdr:row>25</xdr:row>
      <xdr:rowOff>106679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FA75E7A0-C50A-4B09-8A3D-B80F200CD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1165860</xdr:colOff>
      <xdr:row>26</xdr:row>
      <xdr:rowOff>45720</xdr:rowOff>
    </xdr:from>
    <xdr:to>
      <xdr:col>4</xdr:col>
      <xdr:colOff>1563446</xdr:colOff>
      <xdr:row>36</xdr:row>
      <xdr:rowOff>34963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77301130-974E-4248-B205-4266B532D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2501152</xdr:colOff>
      <xdr:row>1</xdr:row>
      <xdr:rowOff>161364</xdr:rowOff>
    </xdr:from>
    <xdr:to>
      <xdr:col>4</xdr:col>
      <xdr:colOff>977152</xdr:colOff>
      <xdr:row>12</xdr:row>
      <xdr:rowOff>255881</xdr:rowOff>
    </xdr:to>
    <xdr:graphicFrame macro="">
      <xdr:nvGraphicFramePr>
        <xdr:cNvPr id="3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DA324A0D-AC34-4F83-84C4-72BF67E33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1595718</xdr:colOff>
      <xdr:row>0</xdr:row>
      <xdr:rowOff>577400</xdr:rowOff>
    </xdr:from>
    <xdr:to>
      <xdr:col>1</xdr:col>
      <xdr:colOff>2255448</xdr:colOff>
      <xdr:row>2</xdr:row>
      <xdr:rowOff>322730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F679983-84B8-4F09-B20F-64666CE85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977" y="577400"/>
          <a:ext cx="659730" cy="659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2312036</xdr:colOff>
      <xdr:row>1</xdr:row>
      <xdr:rowOff>68580</xdr:rowOff>
    </xdr:from>
    <xdr:to>
      <xdr:col>4</xdr:col>
      <xdr:colOff>1088572</xdr:colOff>
      <xdr:row>12</xdr:row>
      <xdr:rowOff>163097</xdr:rowOff>
    </xdr:to>
    <xdr:graphicFrame macro="">
      <xdr:nvGraphicFramePr>
        <xdr:cNvPr id="2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673F5C88-3A6D-457F-8290-9E74EE14B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1488140</xdr:colOff>
      <xdr:row>0</xdr:row>
      <xdr:rowOff>564776</xdr:rowOff>
    </xdr:from>
    <xdr:to>
      <xdr:col>1</xdr:col>
      <xdr:colOff>2147870</xdr:colOff>
      <xdr:row>2</xdr:row>
      <xdr:rowOff>310106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2C18B2A-7B67-455A-A82C-D51F59EED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399" y="564776"/>
          <a:ext cx="659730" cy="659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2312035</xdr:colOff>
      <xdr:row>1</xdr:row>
      <xdr:rowOff>68580</xdr:rowOff>
    </xdr:from>
    <xdr:to>
      <xdr:col>4</xdr:col>
      <xdr:colOff>1203960</xdr:colOff>
      <xdr:row>12</xdr:row>
      <xdr:rowOff>163097</xdr:rowOff>
    </xdr:to>
    <xdr:graphicFrame macro="">
      <xdr:nvGraphicFramePr>
        <xdr:cNvPr id="2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6AD5C747-8E96-4D1A-8B47-7504B9C35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1488141</xdr:colOff>
      <xdr:row>0</xdr:row>
      <xdr:rowOff>564777</xdr:rowOff>
    </xdr:from>
    <xdr:to>
      <xdr:col>1</xdr:col>
      <xdr:colOff>2147871</xdr:colOff>
      <xdr:row>2</xdr:row>
      <xdr:rowOff>310107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7B3D0D9-8796-46D2-9CBC-EC36CDF9C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564777"/>
          <a:ext cx="659730" cy="6597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2312035</xdr:colOff>
      <xdr:row>1</xdr:row>
      <xdr:rowOff>68580</xdr:rowOff>
    </xdr:from>
    <xdr:to>
      <xdr:col>4</xdr:col>
      <xdr:colOff>1203960</xdr:colOff>
      <xdr:row>12</xdr:row>
      <xdr:rowOff>163097</xdr:rowOff>
    </xdr:to>
    <xdr:graphicFrame macro="">
      <xdr:nvGraphicFramePr>
        <xdr:cNvPr id="2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D9E833B2-ADA3-4018-9CB5-C1D090D4A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1488141</xdr:colOff>
      <xdr:row>0</xdr:row>
      <xdr:rowOff>564777</xdr:rowOff>
    </xdr:from>
    <xdr:to>
      <xdr:col>1</xdr:col>
      <xdr:colOff>2147871</xdr:colOff>
      <xdr:row>2</xdr:row>
      <xdr:rowOff>310107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E07549C-2600-45C6-9188-E9A4CC1E1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564777"/>
          <a:ext cx="659730" cy="659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2312035</xdr:colOff>
      <xdr:row>1</xdr:row>
      <xdr:rowOff>68580</xdr:rowOff>
    </xdr:from>
    <xdr:to>
      <xdr:col>4</xdr:col>
      <xdr:colOff>1203960</xdr:colOff>
      <xdr:row>12</xdr:row>
      <xdr:rowOff>163097</xdr:rowOff>
    </xdr:to>
    <xdr:graphicFrame macro="">
      <xdr:nvGraphicFramePr>
        <xdr:cNvPr id="2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673C2F6F-E2A1-4DE0-9545-26E5B4718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1488142</xdr:colOff>
      <xdr:row>0</xdr:row>
      <xdr:rowOff>564776</xdr:rowOff>
    </xdr:from>
    <xdr:to>
      <xdr:col>1</xdr:col>
      <xdr:colOff>2147872</xdr:colOff>
      <xdr:row>2</xdr:row>
      <xdr:rowOff>310106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8479398-9A4F-474D-AB5D-619129D13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1" y="564776"/>
          <a:ext cx="659730" cy="6597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2312035</xdr:colOff>
      <xdr:row>1</xdr:row>
      <xdr:rowOff>68580</xdr:rowOff>
    </xdr:from>
    <xdr:to>
      <xdr:col>4</xdr:col>
      <xdr:colOff>1203960</xdr:colOff>
      <xdr:row>12</xdr:row>
      <xdr:rowOff>163097</xdr:rowOff>
    </xdr:to>
    <xdr:graphicFrame macro="">
      <xdr:nvGraphicFramePr>
        <xdr:cNvPr id="2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16B4DD3B-1B18-48CF-BDB6-43C8F350D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1488141</xdr:colOff>
      <xdr:row>0</xdr:row>
      <xdr:rowOff>564777</xdr:rowOff>
    </xdr:from>
    <xdr:to>
      <xdr:col>1</xdr:col>
      <xdr:colOff>2147871</xdr:colOff>
      <xdr:row>2</xdr:row>
      <xdr:rowOff>310107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F884800-E87B-4F77-B580-54A8C5FB0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564777"/>
          <a:ext cx="659730" cy="6597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2312035</xdr:colOff>
      <xdr:row>1</xdr:row>
      <xdr:rowOff>68580</xdr:rowOff>
    </xdr:from>
    <xdr:to>
      <xdr:col>4</xdr:col>
      <xdr:colOff>1203960</xdr:colOff>
      <xdr:row>12</xdr:row>
      <xdr:rowOff>163097</xdr:rowOff>
    </xdr:to>
    <xdr:graphicFrame macro="">
      <xdr:nvGraphicFramePr>
        <xdr:cNvPr id="2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CE85569E-EE9C-466E-8C90-AA005A50D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1488141</xdr:colOff>
      <xdr:row>0</xdr:row>
      <xdr:rowOff>564776</xdr:rowOff>
    </xdr:from>
    <xdr:to>
      <xdr:col>1</xdr:col>
      <xdr:colOff>2147871</xdr:colOff>
      <xdr:row>2</xdr:row>
      <xdr:rowOff>310106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D1DF15B-CAC3-4DC9-8D1B-66D539DE9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564776"/>
          <a:ext cx="659730" cy="6597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2312035</xdr:colOff>
      <xdr:row>1</xdr:row>
      <xdr:rowOff>68580</xdr:rowOff>
    </xdr:from>
    <xdr:to>
      <xdr:col>4</xdr:col>
      <xdr:colOff>1203960</xdr:colOff>
      <xdr:row>12</xdr:row>
      <xdr:rowOff>163097</xdr:rowOff>
    </xdr:to>
    <xdr:graphicFrame macro="">
      <xdr:nvGraphicFramePr>
        <xdr:cNvPr id="2" name="Диаграмма бюджета" descr="Гистограмма движения денежных средств, а также планируемых и фактических доходов и расходов за месяц." title="Диаграмма бюджета">
          <a:extLst>
            <a:ext uri="{FF2B5EF4-FFF2-40B4-BE49-F238E27FC236}">
              <a16:creationId xmlns:a16="http://schemas.microsoft.com/office/drawing/2014/main" id="{50632F74-48A8-4DF4-A660-274C0B35C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1488141</xdr:colOff>
      <xdr:row>0</xdr:row>
      <xdr:rowOff>564777</xdr:rowOff>
    </xdr:from>
    <xdr:to>
      <xdr:col>1</xdr:col>
      <xdr:colOff>2147871</xdr:colOff>
      <xdr:row>2</xdr:row>
      <xdr:rowOff>310107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F2E80BA-2A15-449E-90E7-1BDC7030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564777"/>
          <a:ext cx="659730" cy="6597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Движение_денежных_средств" displayName="Движение_денежных_средств" ref="B14:E17" totalsRowCount="1" headerRowDxfId="359" headerRowBorderDxfId="358" tableBorderDxfId="357">
  <autoFilter ref="B14:E16" xr:uid="{00000000-0009-0000-0100-000001000000}"/>
  <tableColumns count="4">
    <tableColumn id="1" xr3:uid="{00000000-0010-0000-0000-000001000000}" name="Движение денежных средств" totalsRowLabel="Итого денежных средств" totalsRowDxfId="356"/>
    <tableColumn id="3" xr3:uid="{00000000-0010-0000-0000-000003000000}" name="Планируемые" totalsRowFunction="custom" dataDxfId="355" totalsRowDxfId="354">
      <totalsRowFormula>C15-C16</totalsRowFormula>
    </tableColumn>
    <tableColumn id="4" xr3:uid="{00000000-0010-0000-0000-000004000000}" name="Фактические" totalsRowFunction="custom" dataDxfId="353" totalsRowDxfId="352">
      <totalsRowFormula>D15-D16</totalsRowFormula>
    </tableColumn>
    <tableColumn id="5" xr3:uid="{00000000-0010-0000-0000-000005000000}" name="Отклонение" totalsRowFunction="sum" dataDxfId="351" totalsRowDxfId="35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CE75850-9807-4EE1-AEBE-F47E106C889E}" name="Движение_денежных_средств11" displayName="Движение_денежных_средств11" ref="B14:E17" totalsRowCount="1" headerRowDxfId="269" headerRowBorderDxfId="268" tableBorderDxfId="267">
  <autoFilter ref="B14:E16" xr:uid="{DCE75850-9807-4EE1-AEBE-F47E106C889E}"/>
  <tableColumns count="4">
    <tableColumn id="1" xr3:uid="{E1E8E58E-C165-4E97-BB01-EBE44B10870F}" name="Движение денежных средств" totalsRowLabel="Итого денежных средств" totalsRowDxfId="266"/>
    <tableColumn id="3" xr3:uid="{FBCB9D7A-EDDE-4E18-A179-231E48B954FF}" name="Планируемые" totalsRowFunction="custom" dataDxfId="265" totalsRowDxfId="264">
      <totalsRowFormula>C15-C16</totalsRowFormula>
    </tableColumn>
    <tableColumn id="4" xr3:uid="{E292AF90-0003-4576-9DAA-C410E25ED8A4}" name="Фактические" totalsRowFunction="custom" dataDxfId="263" totalsRowDxfId="262">
      <totalsRowFormula>D15-D16</totalsRowFormula>
    </tableColumn>
    <tableColumn id="5" xr3:uid="{130E070D-DB4D-4419-B4A6-B3D4F4D6B18C}" name="Отклонение" totalsRowFunction="sum" dataDxfId="261" totalsRowDxfId="26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293EA53-18DB-4B3B-A240-CE6722C1217E}" name="Доходы12" displayName="Доходы12" ref="B19:E26" totalsRowCount="1" headerRowDxfId="259" headerRowBorderDxfId="258" tableBorderDxfId="257">
  <autoFilter ref="B19:E25" xr:uid="{2293EA53-18DB-4B3B-A240-CE6722C1217E}"/>
  <tableColumns count="4">
    <tableColumn id="1" xr3:uid="{C60027BE-B93C-4833-9B71-F83F98777AEF}" name="Доходы за месяц" totalsRowLabel="Общие доходы" totalsRowDxfId="256"/>
    <tableColumn id="3" xr3:uid="{A4B05DCE-9FC2-47D4-B456-3405847B2670}" name="Планируемые" totalsRowFunction="sum" dataDxfId="255" totalsRowDxfId="254"/>
    <tableColumn id="4" xr3:uid="{71B892E0-A01C-4CE4-8A49-E42E8DB4AF7E}" name="Фактические" totalsRowFunction="sum" dataDxfId="253" totalsRowDxfId="252"/>
    <tableColumn id="5" xr3:uid="{AFC6246E-CFA1-40AD-86E3-7E478A89DF39}" name="Отклонение" totalsRowFunction="sum" dataDxfId="251" totalsRowDxfId="250">
      <calculatedColumnFormula>Доходы12[[#This Row],[Фактические]]-Доходы12[[#This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7789059-2A8E-4489-8D9F-1105AF7A8A70}" name="Расходы13" displayName="Расходы13" ref="B28:E49" totalsRowCount="1" headerRowDxfId="249" headerRowBorderDxfId="248" tableBorderDxfId="247">
  <autoFilter ref="B28:E48" xr:uid="{E7789059-2A8E-4489-8D9F-1105AF7A8A70}"/>
  <tableColumns count="4">
    <tableColumn id="1" xr3:uid="{90E7FC9A-7F31-4CC6-B547-96FF12BE0B34}" name="Расходы за месяц" totalsRowLabel="Итого" totalsRowDxfId="246"/>
    <tableColumn id="3" xr3:uid="{6B18B0EC-966C-4DB9-BE2D-EDB08131992C}" name="Планируемые" totalsRowFunction="sum" dataDxfId="245" totalsRowDxfId="244"/>
    <tableColumn id="4" xr3:uid="{37D2CB42-9A25-45CF-B15D-11BC26DF3A7C}" name="Фактические" totalsRowFunction="sum" dataDxfId="243" totalsRowDxfId="242"/>
    <tableColumn id="5" xr3:uid="{8BA1DACD-FFF5-41D5-8BC6-6EF78436B507}" name="Отклонение" totalsRowFunction="sum" dataDxfId="241" totalsRowDxfId="240">
      <calculatedColumnFormula>Расходы13[[#This Row],[Планируемые]]-Расходы13[[#This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690779D-9C3A-4D94-A29E-EEBC6BCF8453}" name="Движение_денежных_средств14" displayName="Движение_денежных_средств14" ref="B14:E17" totalsRowCount="1" headerRowDxfId="239" headerRowBorderDxfId="238" tableBorderDxfId="237">
  <autoFilter ref="B14:E16" xr:uid="{F690779D-9C3A-4D94-A29E-EEBC6BCF8453}"/>
  <tableColumns count="4">
    <tableColumn id="1" xr3:uid="{91F96F4C-9A6E-41FF-A4FC-0A8FE79F2BE8}" name="Движение денежных средств" totalsRowLabel="Итого денежных средств" totalsRowDxfId="236"/>
    <tableColumn id="3" xr3:uid="{1ADE72CF-859C-412A-8E12-FBD8858859EE}" name="Планируемые" totalsRowFunction="custom" dataDxfId="235" totalsRowDxfId="234">
      <totalsRowFormula>C15-C16</totalsRowFormula>
    </tableColumn>
    <tableColumn id="4" xr3:uid="{BA6C6122-7246-41F0-AB2A-2E5D6F8238A1}" name="Фактические" totalsRowFunction="custom" dataDxfId="233" totalsRowDxfId="232">
      <totalsRowFormula>D15-D16</totalsRowFormula>
    </tableColumn>
    <tableColumn id="5" xr3:uid="{3DFBBED8-5BCF-40A6-AD8E-CE2C4578434D}" name="Отклонение" totalsRowFunction="sum" dataDxfId="231" totalsRowDxfId="23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FEEA239-FBD3-4DE0-9EB7-82DE18468F70}" name="Доходы15" displayName="Доходы15" ref="B19:E26" totalsRowCount="1" headerRowDxfId="229" headerRowBorderDxfId="228" tableBorderDxfId="227">
  <autoFilter ref="B19:E25" xr:uid="{9FEEA239-FBD3-4DE0-9EB7-82DE18468F70}"/>
  <tableColumns count="4">
    <tableColumn id="1" xr3:uid="{696E63B9-FD86-4F7E-B1C5-BE18B0A80008}" name="Доходы за месяц" totalsRowLabel="Общие доходы" totalsRowDxfId="226"/>
    <tableColumn id="3" xr3:uid="{A167812B-341C-46D4-AFE3-4E154EEC4700}" name="Планируемые" totalsRowFunction="sum" dataDxfId="225" totalsRowDxfId="224"/>
    <tableColumn id="4" xr3:uid="{9DEBFE7F-4A30-447E-A33D-FDC28430C18A}" name="Фактические" totalsRowFunction="sum" dataDxfId="223" totalsRowDxfId="222"/>
    <tableColumn id="5" xr3:uid="{052B555E-BA0E-4E9D-A634-8403553F863B}" name="Отклонение" totalsRowFunction="sum" dataDxfId="221" totalsRowDxfId="220">
      <calculatedColumnFormula>Доходы15[[#This Row],[Фактические]]-Доходы15[[#This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1C561BB-DB46-4765-9E29-9710F9DF6CBB}" name="Расходы16" displayName="Расходы16" ref="B28:E49" totalsRowCount="1" headerRowDxfId="219" headerRowBorderDxfId="218" tableBorderDxfId="217">
  <autoFilter ref="B28:E48" xr:uid="{11C561BB-DB46-4765-9E29-9710F9DF6CBB}"/>
  <tableColumns count="4">
    <tableColumn id="1" xr3:uid="{BC6ADBFD-04BA-4D53-B8F5-3C4C83C5CB95}" name="Расходы за месяц" totalsRowLabel="Итого" totalsRowDxfId="216"/>
    <tableColumn id="3" xr3:uid="{56E61739-201B-4F64-B59B-CC881B29F968}" name="Планируемые" totalsRowFunction="sum" dataDxfId="215" totalsRowDxfId="214"/>
    <tableColumn id="4" xr3:uid="{6B7F205F-A646-4CA3-AB2A-CFC0B53462DA}" name="Фактические" totalsRowFunction="sum" dataDxfId="213" totalsRowDxfId="212"/>
    <tableColumn id="5" xr3:uid="{B6631320-C940-4E7E-B723-2342665FA83B}" name="Отклонение" totalsRowFunction="sum" dataDxfId="211" totalsRowDxfId="210">
      <calculatedColumnFormula>Расходы16[[#This Row],[Планируемые]]-Расходы16[[#This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F652246-FA01-4EC6-9885-4D7AC18D75D4}" name="Движение_денежных_средств17" displayName="Движение_денежных_средств17" ref="B14:E17" totalsRowCount="1" headerRowDxfId="209" headerRowBorderDxfId="208" tableBorderDxfId="207">
  <autoFilter ref="B14:E16" xr:uid="{AF652246-FA01-4EC6-9885-4D7AC18D75D4}"/>
  <tableColumns count="4">
    <tableColumn id="1" xr3:uid="{60CF66DF-4025-472B-884A-BC94957E82D9}" name="Движение денежных средств" totalsRowLabel="Итого денежных средств" totalsRowDxfId="206"/>
    <tableColumn id="3" xr3:uid="{308D2CA8-31A1-4E0C-B752-F08CF44495E5}" name="Планируемые" totalsRowFunction="custom" dataDxfId="205" totalsRowDxfId="204">
      <totalsRowFormula>C15-C16</totalsRowFormula>
    </tableColumn>
    <tableColumn id="4" xr3:uid="{0AB85347-67B9-4C0E-AA04-88123E9320ED}" name="Фактические" totalsRowFunction="custom" dataDxfId="203" totalsRowDxfId="202">
      <totalsRowFormula>D15-D16</totalsRowFormula>
    </tableColumn>
    <tableColumn id="5" xr3:uid="{3A8578C5-42B4-4C3E-9AC6-794BF6F01650}" name="Отклонение" totalsRowFunction="sum" dataDxfId="201" totalsRowDxfId="20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1C47AE1-C645-4B8C-ADFD-BFDC36EF1098}" name="Доходы18" displayName="Доходы18" ref="B19:E26" totalsRowCount="1" headerRowDxfId="199" headerRowBorderDxfId="198" tableBorderDxfId="197">
  <autoFilter ref="B19:E25" xr:uid="{11C47AE1-C645-4B8C-ADFD-BFDC36EF1098}"/>
  <tableColumns count="4">
    <tableColumn id="1" xr3:uid="{E88A333C-74F8-4AF0-A8F6-2F4191FD08A0}" name="Доходы за месяц" totalsRowLabel="Общие доходы" totalsRowDxfId="196"/>
    <tableColumn id="3" xr3:uid="{5DFB23FF-D8D8-4D46-8157-6DE99C6067AD}" name="Планируемые" totalsRowFunction="sum" dataDxfId="195" totalsRowDxfId="194"/>
    <tableColumn id="4" xr3:uid="{C4264E59-ACAC-467F-B23B-0F3BA3F0653A}" name="Фактические" totalsRowFunction="sum" dataDxfId="193" totalsRowDxfId="192"/>
    <tableColumn id="5" xr3:uid="{F56953B4-3186-4278-B7C4-CF8E490FC9FD}" name="Отклонение" totalsRowFunction="sum" dataDxfId="191" totalsRowDxfId="190">
      <calculatedColumnFormula>Доходы18[[#This Row],[Фактические]]-Доходы18[[#This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706F09D-54DB-4CE4-A051-1248940B7FBB}" name="Расходы19" displayName="Расходы19" ref="B28:E49" totalsRowCount="1" headerRowDxfId="189" headerRowBorderDxfId="188" tableBorderDxfId="187">
  <autoFilter ref="B28:E48" xr:uid="{2706F09D-54DB-4CE4-A051-1248940B7FBB}"/>
  <tableColumns count="4">
    <tableColumn id="1" xr3:uid="{483C0C8F-B941-47FF-8661-6E85924F1B87}" name="Расходы за месяц" totalsRowLabel="Итого" totalsRowDxfId="186"/>
    <tableColumn id="3" xr3:uid="{041E4C2F-19DE-4D94-A383-35B0B0B8B3B7}" name="Планируемые" totalsRowFunction="sum" dataDxfId="185" totalsRowDxfId="184"/>
    <tableColumn id="4" xr3:uid="{0B3AE983-5E36-4FB4-B8CD-E4C27D84C297}" name="Фактические" totalsRowFunction="sum" dataDxfId="183" totalsRowDxfId="182"/>
    <tableColumn id="5" xr3:uid="{4D74291C-A500-4007-917D-AED635D08509}" name="Отклонение" totalsRowFunction="sum" dataDxfId="181" totalsRowDxfId="180">
      <calculatedColumnFormula>Расходы19[[#This Row],[Планируемые]]-Расходы19[[#This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CB079B-02B4-42AD-AB3E-C597992EF041}" name="Движение_денежных_средств20" displayName="Движение_денежных_средств20" ref="B14:E17" totalsRowCount="1" headerRowDxfId="179" headerRowBorderDxfId="178" tableBorderDxfId="177">
  <autoFilter ref="B14:E16" xr:uid="{2BCB079B-02B4-42AD-AB3E-C597992EF041}"/>
  <tableColumns count="4">
    <tableColumn id="1" xr3:uid="{EC0546C8-3886-48EF-AAD7-7F96CE86206C}" name="Движение денежных средств" totalsRowLabel="Итого денежных средств" totalsRowDxfId="176"/>
    <tableColumn id="3" xr3:uid="{3445C6CF-D9F8-4181-89F0-056A61C710BA}" name="Планируемые" totalsRowFunction="custom" dataDxfId="175" totalsRowDxfId="174">
      <totalsRowFormula>C15-C16</totalsRowFormula>
    </tableColumn>
    <tableColumn id="4" xr3:uid="{6D20F58A-5760-487A-B7E4-15BF63ADC974}" name="Фактические" totalsRowFunction="custom" dataDxfId="173" totalsRowDxfId="172">
      <totalsRowFormula>D15-D16</totalsRowFormula>
    </tableColumn>
    <tableColumn id="5" xr3:uid="{D0F94F26-897E-44B3-9F23-D2F9310554F8}" name="Отклонение" totalsRowFunction="sum" dataDxfId="171" totalsRowDxfId="17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Доходы" displayName="Доходы" ref="B19:E26" totalsRowCount="1" headerRowDxfId="349" headerRowBorderDxfId="348" tableBorderDxfId="347">
  <autoFilter ref="B19:E25" xr:uid="{00000000-0009-0000-0100-000002000000}"/>
  <tableColumns count="4">
    <tableColumn id="1" xr3:uid="{00000000-0010-0000-0100-000001000000}" name="Доходы за месяц" totalsRowLabel="Общие доходы" totalsRowDxfId="346"/>
    <tableColumn id="3" xr3:uid="{00000000-0010-0000-0100-000003000000}" name="Планируемые" totalsRowFunction="sum" dataDxfId="345" totalsRowDxfId="344"/>
    <tableColumn id="4" xr3:uid="{00000000-0010-0000-0100-000004000000}" name="Фактические" totalsRowFunction="sum" dataDxfId="343" totalsRowDxfId="342"/>
    <tableColumn id="5" xr3:uid="{00000000-0010-0000-0100-000005000000}" name="Отклонение" totalsRowFunction="sum" dataDxfId="341" totalsRowDxfId="340">
      <calculatedColumnFormula>Доходы[[#This Row],[Фактические]]-Доходы[[#This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839CD6D-FA5B-4806-B408-2989CE52D67B}" name="Доходы21" displayName="Доходы21" ref="B19:E26" totalsRowCount="1" headerRowDxfId="169" headerRowBorderDxfId="168" tableBorderDxfId="167">
  <autoFilter ref="B19:E25" xr:uid="{C839CD6D-FA5B-4806-B408-2989CE52D67B}"/>
  <tableColumns count="4">
    <tableColumn id="1" xr3:uid="{A0CE36E6-C661-4E57-8F43-765D6328B453}" name="Доходы за месяц" totalsRowLabel="Общие доходы" totalsRowDxfId="166"/>
    <tableColumn id="3" xr3:uid="{8AFC0E90-522F-409D-910A-999BBADAB29F}" name="Планируемые" totalsRowFunction="sum" dataDxfId="165" totalsRowDxfId="164"/>
    <tableColumn id="4" xr3:uid="{29F2AF07-749D-4890-AE4A-E803BBB343E5}" name="Фактические" totalsRowFunction="sum" dataDxfId="163" totalsRowDxfId="162"/>
    <tableColumn id="5" xr3:uid="{BE30B033-F473-4F0C-98BF-187C01459124}" name="Отклонение" totalsRowFunction="sum" dataDxfId="161" totalsRowDxfId="160">
      <calculatedColumnFormula>Доходы21[[#This Row],[Фактические]]-Доходы21[[#This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1155219-D7E9-460A-B220-4799B176F9F0}" name="Расходы22" displayName="Расходы22" ref="B28:E49" totalsRowCount="1" headerRowDxfId="159" headerRowBorderDxfId="158" tableBorderDxfId="157">
  <autoFilter ref="B28:E48" xr:uid="{01155219-D7E9-460A-B220-4799B176F9F0}"/>
  <tableColumns count="4">
    <tableColumn id="1" xr3:uid="{4E904942-191E-41C1-B4E8-46F7E352D1BE}" name="Расходы за месяц" totalsRowLabel="Итого" totalsRowDxfId="156"/>
    <tableColumn id="3" xr3:uid="{EF931C7D-7132-46A3-AA9B-86DE4F66C269}" name="Планируемые" totalsRowFunction="sum" dataDxfId="155" totalsRowDxfId="154"/>
    <tableColumn id="4" xr3:uid="{C2EEE8C0-B5B7-4320-8741-AC8F25287C9D}" name="Фактические" totalsRowFunction="sum" dataDxfId="153" totalsRowDxfId="152"/>
    <tableColumn id="5" xr3:uid="{E86C5E38-6194-48BE-92A7-589DD71872A0}" name="Отклонение" totalsRowFunction="sum" dataDxfId="151" totalsRowDxfId="150">
      <calculatedColumnFormula>Расходы22[[#This Row],[Планируемые]]-Расходы22[[#This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EA6B2D7-E87B-4D60-A913-F372105004BD}" name="Движение_денежных_средств23" displayName="Движение_денежных_средств23" ref="B14:E17" totalsRowCount="1" headerRowDxfId="149" headerRowBorderDxfId="148" tableBorderDxfId="147">
  <autoFilter ref="B14:E16" xr:uid="{0EA6B2D7-E87B-4D60-A913-F372105004BD}"/>
  <tableColumns count="4">
    <tableColumn id="1" xr3:uid="{AB18B5C1-4190-43D1-91DF-92D23E339EDF}" name="Движение денежных средств" totalsRowLabel="Итого денежных средств" totalsRowDxfId="146"/>
    <tableColumn id="3" xr3:uid="{360A8C4E-FF7C-49D7-A444-D0B1BBD4F4FC}" name="Планируемые" totalsRowFunction="custom" dataDxfId="145" totalsRowDxfId="144">
      <totalsRowFormula>C15-C16</totalsRowFormula>
    </tableColumn>
    <tableColumn id="4" xr3:uid="{812436D9-8D9D-4609-B965-34AB1D2C2C1B}" name="Фактические" totalsRowFunction="custom" dataDxfId="143" totalsRowDxfId="142">
      <totalsRowFormula>D15-D16</totalsRowFormula>
    </tableColumn>
    <tableColumn id="5" xr3:uid="{207884D9-4622-4458-B88C-2B5D587E7702}" name="Отклонение" totalsRowFunction="sum" dataDxfId="141" totalsRowDxfId="14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0DE49C6-5328-44DD-8C5E-E87A895C8620}" name="Доходы24" displayName="Доходы24" ref="B19:E26" totalsRowCount="1" headerRowDxfId="139" headerRowBorderDxfId="138" tableBorderDxfId="137">
  <autoFilter ref="B19:E25" xr:uid="{B0DE49C6-5328-44DD-8C5E-E87A895C8620}"/>
  <tableColumns count="4">
    <tableColumn id="1" xr3:uid="{8E34FDFB-AF2E-440B-BF27-EB8DDE5D0F6D}" name="Доходы за месяц" totalsRowLabel="Общие доходы" totalsRowDxfId="136"/>
    <tableColumn id="3" xr3:uid="{729E55AA-1AEC-4AAF-BF63-D9F155E056D8}" name="Планируемые" totalsRowFunction="sum" dataDxfId="135" totalsRowDxfId="134"/>
    <tableColumn id="4" xr3:uid="{70AA426D-D0D6-4759-82F4-F9C0ADD9240A}" name="Фактические" totalsRowFunction="sum" dataDxfId="133" totalsRowDxfId="132"/>
    <tableColumn id="5" xr3:uid="{7D93332B-A6F8-455A-9DEC-50868B319754}" name="Отклонение" totalsRowFunction="sum" dataDxfId="131" totalsRowDxfId="130">
      <calculatedColumnFormula>Доходы24[[#This Row],[Фактические]]-Доходы24[[#This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24CAB9C-9830-4CDD-A178-7870FDAA92E4}" name="Расходы25" displayName="Расходы25" ref="B28:E49" totalsRowCount="1" headerRowDxfId="129" headerRowBorderDxfId="128" tableBorderDxfId="127">
  <autoFilter ref="B28:E48" xr:uid="{F24CAB9C-9830-4CDD-A178-7870FDAA92E4}"/>
  <tableColumns count="4">
    <tableColumn id="1" xr3:uid="{B4A97078-45C1-426D-A811-5642D6F813FE}" name="Расходы за месяц" totalsRowLabel="Итого" totalsRowDxfId="126"/>
    <tableColumn id="3" xr3:uid="{11266BB4-8A66-4376-B2CA-A4DA1E4FB079}" name="Планируемые" totalsRowFunction="sum" dataDxfId="125" totalsRowDxfId="124"/>
    <tableColumn id="4" xr3:uid="{1CF463A9-15A5-427E-842E-7DE1719F4693}" name="Фактические" totalsRowFunction="sum" dataDxfId="123" totalsRowDxfId="122"/>
    <tableColumn id="5" xr3:uid="{533C6339-6802-4030-9A5B-8EF8A334A813}" name="Отклонение" totalsRowFunction="sum" dataDxfId="121" totalsRowDxfId="120">
      <calculatedColumnFormula>Расходы25[[#This Row],[Планируемые]]-Расходы25[[#This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8B6E093-FD4C-47A3-BA71-32261C886D43}" name="Движение_денежных_средств26" displayName="Движение_денежных_средств26" ref="B14:E17" totalsRowCount="1" headerRowDxfId="119" headerRowBorderDxfId="118" tableBorderDxfId="117">
  <autoFilter ref="B14:E16" xr:uid="{D8B6E093-FD4C-47A3-BA71-32261C886D43}"/>
  <tableColumns count="4">
    <tableColumn id="1" xr3:uid="{68FFCFBE-0CB6-4890-8459-7D1200549B38}" name="Движение денежных средств" totalsRowLabel="Итого денежных средств" totalsRowDxfId="116"/>
    <tableColumn id="3" xr3:uid="{4F260BAF-D792-4BDB-8AB9-F0761C97F11A}" name="Планируемые" totalsRowFunction="custom" dataDxfId="115" totalsRowDxfId="114">
      <totalsRowFormula>C15-C16</totalsRowFormula>
    </tableColumn>
    <tableColumn id="4" xr3:uid="{0A0AF2DC-AA1F-46CC-972E-AB2C458FDF43}" name="Фактические" totalsRowFunction="custom" dataDxfId="113" totalsRowDxfId="112">
      <totalsRowFormula>D15-D16</totalsRowFormula>
    </tableColumn>
    <tableColumn id="5" xr3:uid="{BE537BDF-5071-40A8-9388-1FC832F24A29}" name="Отклонение" totalsRowFunction="sum" dataDxfId="111" totalsRowDxfId="11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119F678-8B68-4F80-839A-7BF23746AEE3}" name="Доходы27" displayName="Доходы27" ref="B19:E26" totalsRowCount="1" headerRowDxfId="109" headerRowBorderDxfId="108" tableBorderDxfId="107">
  <autoFilter ref="B19:E25" xr:uid="{A119F678-8B68-4F80-839A-7BF23746AEE3}"/>
  <tableColumns count="4">
    <tableColumn id="1" xr3:uid="{81AF717F-2B5A-4C6A-9463-94F8BA4D2C99}" name="Доходы за месяц" totalsRowLabel="Общие доходы" totalsRowDxfId="106"/>
    <tableColumn id="3" xr3:uid="{A3AFB205-A024-46FB-A2F9-E2721B0CCE15}" name="Планируемые" totalsRowFunction="sum" dataDxfId="105" totalsRowDxfId="104"/>
    <tableColumn id="4" xr3:uid="{45C3D217-428B-439F-98C1-773FF7850321}" name="Фактические" totalsRowFunction="sum" dataDxfId="103" totalsRowDxfId="102"/>
    <tableColumn id="5" xr3:uid="{91C7DCC8-0F89-4348-A61F-126D3F83BD66}" name="Отклонение" totalsRowFunction="sum" dataDxfId="101" totalsRowDxfId="100">
      <calculatedColumnFormula>Доходы27[[#This Row],[Фактические]]-Доходы27[[#This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BC77AD9-117B-4014-B585-F835B6EF5953}" name="Расходы28" displayName="Расходы28" ref="B28:E49" totalsRowCount="1" headerRowDxfId="99" headerRowBorderDxfId="98" tableBorderDxfId="97">
  <autoFilter ref="B28:E48" xr:uid="{ABC77AD9-117B-4014-B585-F835B6EF5953}"/>
  <tableColumns count="4">
    <tableColumn id="1" xr3:uid="{6BA2F77A-09C4-4FBF-9863-ED0B24213534}" name="Расходы за месяц" totalsRowLabel="Итого" totalsRowDxfId="96"/>
    <tableColumn id="3" xr3:uid="{7552C007-D424-495C-B55B-07B336516E6E}" name="Планируемые" totalsRowFunction="sum" dataDxfId="95" totalsRowDxfId="94"/>
    <tableColumn id="4" xr3:uid="{8E1FDBFA-2826-4886-B384-5D1696E24A0F}" name="Фактические" totalsRowFunction="sum" dataDxfId="93" totalsRowDxfId="92"/>
    <tableColumn id="5" xr3:uid="{1AE2CEDE-5E9E-405A-81B1-08F572513B93}" name="Отклонение" totalsRowFunction="sum" dataDxfId="91" totalsRowDxfId="90">
      <calculatedColumnFormula>Расходы28[[#This Row],[Планируемые]]-Расходы28[[#This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2AD80C9-6D0C-4022-B74B-8EC48D50F9A4}" name="Движение_денежных_средств29" displayName="Движение_денежных_средств29" ref="B14:E17" totalsRowCount="1" headerRowDxfId="89" headerRowBorderDxfId="88" tableBorderDxfId="87">
  <autoFilter ref="B14:E16" xr:uid="{E2AD80C9-6D0C-4022-B74B-8EC48D50F9A4}"/>
  <tableColumns count="4">
    <tableColumn id="1" xr3:uid="{6AF8189B-F3E7-47CC-A143-B5D1F56220A5}" name="Движение денежных средств" totalsRowLabel="Итого денежных средств" totalsRowDxfId="86"/>
    <tableColumn id="3" xr3:uid="{1740B614-F0D1-414D-8530-F42A11CE3FEB}" name="Планируемые" totalsRowFunction="custom" dataDxfId="85" totalsRowDxfId="84">
      <totalsRowFormula>C15-C16</totalsRowFormula>
    </tableColumn>
    <tableColumn id="4" xr3:uid="{00B90B45-18D7-4760-80D1-BD7EB430C3F6}" name="Фактические" totalsRowFunction="custom" dataDxfId="83" totalsRowDxfId="82">
      <totalsRowFormula>D15-D16</totalsRowFormula>
    </tableColumn>
    <tableColumn id="5" xr3:uid="{CF66ACED-1FFF-42A2-A65B-715ED76901B6}" name="Отклонение" totalsRowFunction="sum" dataDxfId="81" totalsRowDxfId="8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18EF8E1-A034-4E6F-8100-62EF7D53FC94}" name="Доходы30" displayName="Доходы30" ref="B19:E26" totalsRowCount="1" headerRowDxfId="79" headerRowBorderDxfId="78" tableBorderDxfId="77">
  <autoFilter ref="B19:E25" xr:uid="{D18EF8E1-A034-4E6F-8100-62EF7D53FC94}"/>
  <tableColumns count="4">
    <tableColumn id="1" xr3:uid="{8CEBE82C-FA8D-4699-887F-5274345E7939}" name="Доходы за месяц" totalsRowLabel="Общие доходы" totalsRowDxfId="76"/>
    <tableColumn id="3" xr3:uid="{83A5532A-5448-4F49-A87E-CC1772A490DA}" name="Планируемые" totalsRowFunction="sum" dataDxfId="75" totalsRowDxfId="74"/>
    <tableColumn id="4" xr3:uid="{D70FD13B-1071-4753-B929-9F9AB85F2878}" name="Фактические" totalsRowFunction="sum" dataDxfId="73" totalsRowDxfId="72"/>
    <tableColumn id="5" xr3:uid="{BDEF9B9E-4DEA-4E5D-A13E-A52C8D0CD71A}" name="Отклонение" totalsRowFunction="sum" dataDxfId="71" totalsRowDxfId="70">
      <calculatedColumnFormula>Доходы30[[#This Row],[Фактические]]-Доходы30[[#This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Расходы" displayName="Расходы" ref="B28:E49" totalsRowCount="1" headerRowDxfId="339" headerRowBorderDxfId="338" tableBorderDxfId="337">
  <autoFilter ref="B28:E48" xr:uid="{00000000-0009-0000-0100-000003000000}"/>
  <tableColumns count="4">
    <tableColumn id="1" xr3:uid="{00000000-0010-0000-0200-000001000000}" name="Расходы за месяц" totalsRowLabel="Итого" totalsRowDxfId="336"/>
    <tableColumn id="3" xr3:uid="{00000000-0010-0000-0200-000003000000}" name="Планируемые" totalsRowFunction="sum" dataDxfId="335" totalsRowDxfId="334"/>
    <tableColumn id="4" xr3:uid="{00000000-0010-0000-0200-000004000000}" name="Фактические" totalsRowFunction="sum" dataDxfId="333" totalsRowDxfId="332"/>
    <tableColumn id="5" xr3:uid="{00000000-0010-0000-0200-000005000000}" name="Отклонение" totalsRowFunction="sum" dataDxfId="331" totalsRowDxfId="330">
      <calculatedColumnFormula>Расходы[[#This Row],[Планируемые]]-Расходы[[#This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98F7327-00F2-4530-8895-BF83C323F5A2}" name="Расходы31" displayName="Расходы31" ref="B28:E49" totalsRowCount="1" headerRowDxfId="69" headerRowBorderDxfId="68" tableBorderDxfId="67">
  <autoFilter ref="B28:E48" xr:uid="{498F7327-00F2-4530-8895-BF83C323F5A2}"/>
  <tableColumns count="4">
    <tableColumn id="1" xr3:uid="{DC62C1F1-F594-41D8-8A10-06E7446D5B7F}" name="Расходы за месяц" totalsRowLabel="Итого" totalsRowDxfId="66"/>
    <tableColumn id="3" xr3:uid="{CC4BEB1A-2CD9-4FD9-BD4D-337B0B16F8C0}" name="Планируемые" totalsRowFunction="sum" dataDxfId="65" totalsRowDxfId="64"/>
    <tableColumn id="4" xr3:uid="{C740E367-6914-46DA-8273-77AB428EDAA5}" name="Фактические" totalsRowFunction="sum" dataDxfId="63" totalsRowDxfId="62"/>
    <tableColumn id="5" xr3:uid="{F540D2E1-C32A-44DC-B15A-35C495373850}" name="Отклонение" totalsRowFunction="sum" dataDxfId="61" totalsRowDxfId="60">
      <calculatedColumnFormula>Расходы31[[#This Row],[Планируемые]]-Расходы31[[#This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88D9C54-987F-4639-BADA-4F6CDECD855A}" name="Движение_денежных_средств32" displayName="Движение_денежных_средств32" ref="B14:E17" totalsRowCount="1" headerRowDxfId="59" headerRowBorderDxfId="58" tableBorderDxfId="57">
  <autoFilter ref="B14:E16" xr:uid="{E88D9C54-987F-4639-BADA-4F6CDECD855A}"/>
  <tableColumns count="4">
    <tableColumn id="1" xr3:uid="{D514EEE9-226D-4B5E-A628-967007992875}" name="Движение денежных средств" totalsRowLabel="Итого денежных средств" totalsRowDxfId="56"/>
    <tableColumn id="3" xr3:uid="{EAEA43FF-E11A-4110-9D86-F2D3F4482432}" name="Планируемые" totalsRowFunction="custom" dataDxfId="55" totalsRowDxfId="54">
      <totalsRowFormula>C15-C16</totalsRowFormula>
    </tableColumn>
    <tableColumn id="4" xr3:uid="{E84E335F-264D-45AD-BE5D-9A99F363A7C9}" name="Фактические" totalsRowFunction="custom" dataDxfId="53" totalsRowDxfId="52">
      <totalsRowFormula>D15-D16</totalsRowFormula>
    </tableColumn>
    <tableColumn id="5" xr3:uid="{A34084E8-A0E0-4036-8641-0BF3EC964B07}" name="Отклонение" totalsRowFunction="sum" dataDxfId="51" totalsRowDxfId="5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5B3EC58-4771-431C-89E7-F85259055B93}" name="Доходы33" displayName="Доходы33" ref="B19:E26" totalsRowCount="1" headerRowDxfId="49" headerRowBorderDxfId="48" tableBorderDxfId="47">
  <autoFilter ref="B19:E25" xr:uid="{55B3EC58-4771-431C-89E7-F85259055B93}"/>
  <tableColumns count="4">
    <tableColumn id="1" xr3:uid="{9C721A8C-FA61-4D60-8E26-D60EB7E186E4}" name="Доходы за месяц" totalsRowLabel="Общие доходы" totalsRowDxfId="46"/>
    <tableColumn id="3" xr3:uid="{79524680-E40E-4306-9209-F12D32CED907}" name="Планируемые" totalsRowFunction="sum" dataDxfId="45" totalsRowDxfId="44"/>
    <tableColumn id="4" xr3:uid="{37DDE4D9-70EA-4080-9A6E-0E5F191765E5}" name="Фактические" totalsRowFunction="sum" dataDxfId="43" totalsRowDxfId="42"/>
    <tableColumn id="5" xr3:uid="{86EA27B1-E982-40E4-B071-372893E36973}" name="Отклонение" totalsRowFunction="sum" dataDxfId="41" totalsRowDxfId="40">
      <calculatedColumnFormula>Доходы33[[#This Row],[Фактические]]-Доходы33[[#This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24FA9B9-7363-43F3-9EFF-07E7448138C8}" name="Расходы34" displayName="Расходы34" ref="B28:E49" totalsRowCount="1" headerRowDxfId="39" headerRowBorderDxfId="38" tableBorderDxfId="37">
  <autoFilter ref="B28:E48" xr:uid="{224FA9B9-7363-43F3-9EFF-07E7448138C8}"/>
  <tableColumns count="4">
    <tableColumn id="1" xr3:uid="{067765B2-F385-44B2-A7A4-F0D7BB7C99CA}" name="Расходы за месяц" totalsRowLabel="Итого" totalsRowDxfId="36"/>
    <tableColumn id="3" xr3:uid="{B70236F5-B850-4E37-9B5F-AE933C78400E}" name="Планируемые" totalsRowFunction="sum" dataDxfId="35" totalsRowDxfId="34"/>
    <tableColumn id="4" xr3:uid="{BD2BC2AA-E729-4D17-A9B3-2A20D06F52E9}" name="Фактические" totalsRowFunction="sum" dataDxfId="33" totalsRowDxfId="32"/>
    <tableColumn id="5" xr3:uid="{769A61E7-E88E-43FD-9E72-57A79EF39CE6}" name="Отклонение" totalsRowFunction="sum" dataDxfId="31" totalsRowDxfId="30">
      <calculatedColumnFormula>Расходы34[[#This Row],[Планируемые]]-Расходы34[[#This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E8E4693-51CC-4748-AD9E-BF94E3F7CF80}" name="Движение_денежных_средств35" displayName="Движение_денежных_средств35" ref="B14:E17" totalsRowCount="1" headerRowDxfId="29" headerRowBorderDxfId="28" tableBorderDxfId="27">
  <autoFilter ref="B14:E16" xr:uid="{6E8E4693-51CC-4748-AD9E-BF94E3F7CF80}"/>
  <tableColumns count="4">
    <tableColumn id="1" xr3:uid="{635C7BD9-BC6A-406B-850F-E5C53221CEE1}" name="Движение денежных средств" totalsRowLabel="Итого денежных средств" totalsRowDxfId="26"/>
    <tableColumn id="3" xr3:uid="{863C7F21-9DF1-4D7F-8BBB-FECC7569A685}" name="Планируемые" totalsRowFunction="custom" dataDxfId="25" totalsRowDxfId="24">
      <totalsRowFormula>C15-C16</totalsRowFormula>
    </tableColumn>
    <tableColumn id="4" xr3:uid="{19CEA3C8-83F3-404E-B7F9-DA1F17150CCC}" name="Фактические" totalsRowFunction="custom" dataDxfId="23" totalsRowDxfId="22">
      <totalsRowFormula>D15-D16</totalsRowFormula>
    </tableColumn>
    <tableColumn id="5" xr3:uid="{7E0B0741-8F94-4C95-9B25-6CF2EDA8883E}" name="Отклонение" totalsRowFunction="sum" dataDxfId="21" totalsRowDxfId="2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10A3FCB-FF9E-4347-A291-B96F0BF1F994}" name="Доходы36" displayName="Доходы36" ref="B19:E26" totalsRowCount="1" headerRowDxfId="19" headerRowBorderDxfId="18" tableBorderDxfId="17">
  <autoFilter ref="B19:E25" xr:uid="{010A3FCB-FF9E-4347-A291-B96F0BF1F994}"/>
  <tableColumns count="4">
    <tableColumn id="1" xr3:uid="{FA17CC70-70AE-4A82-B6E6-0220B31A2A3E}" name="Доходы за месяц" totalsRowLabel="Общие доходы" totalsRowDxfId="16"/>
    <tableColumn id="3" xr3:uid="{9746147C-53DB-4DD5-AF34-56AF666A024E}" name="Планируемые" totalsRowFunction="sum" dataDxfId="15" totalsRowDxfId="14"/>
    <tableColumn id="4" xr3:uid="{9FD7AF22-7837-4FE8-9EA1-382B2FC96E2A}" name="Фактические" totalsRowFunction="sum" dataDxfId="13" totalsRowDxfId="12"/>
    <tableColumn id="5" xr3:uid="{98644CE0-0138-4921-B508-126A61184A34}" name="Отклонение" totalsRowFunction="sum" dataDxfId="11" totalsRowDxfId="10">
      <calculatedColumnFormula>Доходы36[[#This Row],[Фактические]]-Доходы36[[#This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6FBF576-BB5F-4491-83E3-B27FA8EA28B8}" name="Расходы37" displayName="Расходы37" ref="B28:E49" totalsRowCount="1" headerRowDxfId="9" headerRowBorderDxfId="8" tableBorderDxfId="7">
  <autoFilter ref="B28:E48" xr:uid="{16FBF576-BB5F-4491-83E3-B27FA8EA28B8}"/>
  <tableColumns count="4">
    <tableColumn id="1" xr3:uid="{601F612A-C056-4960-BDBB-873BA16707C6}" name="Расходы за месяц" totalsRowLabel="Итого" totalsRowDxfId="6"/>
    <tableColumn id="3" xr3:uid="{0B737900-3DF0-48F4-9CE0-92AA6801308E}" name="Планируемые" totalsRowFunction="sum" dataDxfId="5" totalsRowDxfId="4"/>
    <tableColumn id="4" xr3:uid="{A9DBF418-9801-40D4-8EB7-4BCD29D18B95}" name="Фактические" totalsRowFunction="sum" dataDxfId="3" totalsRowDxfId="2"/>
    <tableColumn id="5" xr3:uid="{1A00BF8C-4EA8-4C74-BB1B-5688C793F6AD}" name="Отклонение" totalsRowFunction="sum" dataDxfId="1" totalsRowDxfId="0">
      <calculatedColumnFormula>Расходы37[[#This Row],[Планируемые]]-Расходы37[[#This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CF0B16-7E7E-4C25-9F80-9330255A4938}" name="Движение_денежных_средств5" displayName="Движение_денежных_средств5" ref="B14:E17" totalsRowCount="1" headerRowDxfId="329" headerRowBorderDxfId="328" tableBorderDxfId="327">
  <autoFilter ref="B14:E16" xr:uid="{C6CF0B16-7E7E-4C25-9F80-9330255A4938}"/>
  <tableColumns count="4">
    <tableColumn id="1" xr3:uid="{BC4C5AC0-FA88-47C0-BE44-A9F2D4EAE7CA}" name="Движение денежных средств" totalsRowLabel="Итого денежных средств" totalsRowDxfId="326"/>
    <tableColumn id="3" xr3:uid="{A9CD9DED-B30B-4146-8407-5B30A4DB247B}" name="Планируемые" totalsRowFunction="custom" dataDxfId="325" totalsRowDxfId="324">
      <totalsRowFormula>C15-C16</totalsRowFormula>
    </tableColumn>
    <tableColumn id="4" xr3:uid="{89FC583A-4074-442B-8E22-53D90FC428E6}" name="Фактические" totalsRowFunction="custom" dataDxfId="323" totalsRowDxfId="322">
      <totalsRowFormula>D15-D16</totalsRowFormula>
    </tableColumn>
    <tableColumn id="5" xr3:uid="{7975923E-27B5-4BC8-A3D1-9D0F417C8F9D}" name="Отклонение" totalsRowFunction="sum" dataDxfId="321" totalsRowDxfId="32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1393B4F-53D7-4C72-A610-B98413B92C73}" name="Доходы6" displayName="Доходы6" ref="B19:E26" totalsRowCount="1" headerRowDxfId="319" headerRowBorderDxfId="318" tableBorderDxfId="317">
  <autoFilter ref="B19:E25" xr:uid="{21393B4F-53D7-4C72-A610-B98413B92C73}"/>
  <tableColumns count="4">
    <tableColumn id="1" xr3:uid="{E91BB411-D5D4-448D-900C-1BDD3EA478E3}" name="Доходы за месяц" totalsRowLabel="Общие доходы" totalsRowDxfId="316"/>
    <tableColumn id="3" xr3:uid="{D5AA0854-9F14-4901-B27A-C5CC1E681857}" name="Планируемые" totalsRowFunction="sum" dataDxfId="315" totalsRowDxfId="314"/>
    <tableColumn id="4" xr3:uid="{7DD285BB-9418-4438-AA41-4535EB2228B0}" name="Фактические" totalsRowFunction="sum" dataDxfId="313" totalsRowDxfId="312"/>
    <tableColumn id="5" xr3:uid="{02305B0A-27D3-4D6F-B7A7-43FFEC4377DE}" name="Отклонение" totalsRowFunction="sum" dataDxfId="311" totalsRowDxfId="310">
      <calculatedColumnFormula>Доходы6[[#This Row],[Фактические]]-Доходы6[[#This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6150CF4-10FE-4032-A8B6-51CF8CEA929B}" name="Расходы7" displayName="Расходы7" ref="B28:E49" totalsRowCount="1" headerRowDxfId="309" headerRowBorderDxfId="308" tableBorderDxfId="307">
  <autoFilter ref="B28:E48" xr:uid="{56150CF4-10FE-4032-A8B6-51CF8CEA929B}"/>
  <tableColumns count="4">
    <tableColumn id="1" xr3:uid="{C5AB85FA-66F7-4DFA-BC9F-A43A1FC341B4}" name="Расходы за месяц" totalsRowLabel="Итого" totalsRowDxfId="306"/>
    <tableColumn id="3" xr3:uid="{2630D5B3-9CAD-488C-BDD1-A1D4DD2770A3}" name="Планируемые" totalsRowFunction="sum" dataDxfId="305" totalsRowDxfId="304"/>
    <tableColumn id="4" xr3:uid="{A8AD772B-4CC7-47B4-BD11-2787DEB794B5}" name="Фактические" totalsRowFunction="sum" dataDxfId="303" totalsRowDxfId="302"/>
    <tableColumn id="5" xr3:uid="{7DDD1B38-3CB8-4F02-A217-007FF91D1B69}" name="Отклонение" totalsRowFunction="sum" dataDxfId="301" totalsRowDxfId="300">
      <calculatedColumnFormula>Расходы7[[#This Row],[Планируемые]]-Расходы7[[#This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0F3D9C6-63D2-440E-8C20-BC6BB7FCBFFB}" name="Движение_денежных_средств8" displayName="Движение_денежных_средств8" ref="B14:E17" totalsRowCount="1" headerRowDxfId="299" headerRowBorderDxfId="298" tableBorderDxfId="297">
  <autoFilter ref="B14:E16" xr:uid="{20F3D9C6-63D2-440E-8C20-BC6BB7FCBFFB}"/>
  <tableColumns count="4">
    <tableColumn id="1" xr3:uid="{6EA66932-D6B4-4547-BA12-A2DBA83904C4}" name="Движение денежных средств" totalsRowLabel="Итого денежных средств" totalsRowDxfId="296"/>
    <tableColumn id="3" xr3:uid="{4E28FF12-A562-4355-8013-357446A54E4E}" name="Планируемые" totalsRowFunction="custom" dataDxfId="295" totalsRowDxfId="294">
      <totalsRowFormula>C15-C16</totalsRowFormula>
    </tableColumn>
    <tableColumn id="4" xr3:uid="{19E1116C-8CC5-403A-B178-05D8E1CB1C83}" name="Фактические" totalsRowFunction="custom" dataDxfId="293" totalsRowDxfId="292">
      <totalsRowFormula>D15-D16</totalsRowFormula>
    </tableColumn>
    <tableColumn id="5" xr3:uid="{DBE6AD47-8B1D-4512-85E9-892F947D33C1}" name="Отклонение" totalsRowFunction="sum" dataDxfId="291" totalsRowDxfId="290"/>
  </tableColumns>
  <tableStyleInfo name="Семейный бюджет: движение денежных средств" showFirstColumn="0" showLastColumn="0" showRowStripes="1" showColumnStripes="0"/>
  <extLst>
    <ext xmlns:x14="http://schemas.microsoft.com/office/spreadsheetml/2009/9/main" uri="{504A1905-F514-4f6f-8877-14C23A59335A}">
      <x14:table altText="Таблица движения денежных средств" altTextSummary="Значения планируемых и фактических доходов и расходов рассчитываются наряду с отклонением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0F9936F-4D36-4101-9D33-17BFDA35258B}" name="Доходы9" displayName="Доходы9" ref="B19:E26" totalsRowCount="1" headerRowDxfId="289" headerRowBorderDxfId="288" tableBorderDxfId="287">
  <autoFilter ref="B19:E25" xr:uid="{F0F9936F-4D36-4101-9D33-17BFDA35258B}"/>
  <tableColumns count="4">
    <tableColumn id="1" xr3:uid="{BB452716-5B95-43B7-A857-9602787E9771}" name="Доходы за месяц" totalsRowLabel="Общие доходы" totalsRowDxfId="286"/>
    <tableColumn id="3" xr3:uid="{D77E7A8D-81AC-4DA3-965A-D3E5A1F56467}" name="Планируемые" totalsRowFunction="sum" dataDxfId="285" totalsRowDxfId="284"/>
    <tableColumn id="4" xr3:uid="{CE189884-B24E-4382-86E2-91FCD19DB2C9}" name="Фактические" totalsRowFunction="sum" dataDxfId="283" totalsRowDxfId="282"/>
    <tableColumn id="5" xr3:uid="{1CACCF4A-442F-4643-B913-FCA0EA46C7D5}" name="Отклонение" totalsRowFunction="sum" dataDxfId="281" totalsRowDxfId="280">
      <calculatedColumnFormula>Доходы9[[#This Row],[Фактические]]-Доходы9[[#This Row],[Планируемые]]</calculatedColumnFormula>
    </tableColumn>
  </tableColumns>
  <tableStyleInfo name="Семейный бюджет: доходы" showFirstColumn="0" showLastColumn="0" showRowStripes="1" showColumnStripes="0"/>
  <extLst>
    <ext xmlns:x14="http://schemas.microsoft.com/office/spreadsheetml/2009/9/main" uri="{504A1905-F514-4f6f-8877-14C23A59335A}">
      <x14:table altText="Таблица доходов за месяц" altTextSummary="Введите статьи доходов за месяц, а также их планируемые и фактические значения. Отклонение будет рассчитано автоматически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F460BE8-3EFF-4CD8-85BB-F86D16E713DE}" name="Расходы10" displayName="Расходы10" ref="B28:E49" totalsRowCount="1" headerRowDxfId="279" headerRowBorderDxfId="278" tableBorderDxfId="277">
  <autoFilter ref="B28:E48" xr:uid="{4F460BE8-3EFF-4CD8-85BB-F86D16E713DE}"/>
  <tableColumns count="4">
    <tableColumn id="1" xr3:uid="{5926E65B-B311-4C2F-B518-0AC468CC2471}" name="Расходы за месяц" totalsRowLabel="Итого" totalsRowDxfId="276"/>
    <tableColumn id="3" xr3:uid="{6A4E0516-D41F-4631-921B-65A26B398D29}" name="Планируемые" totalsRowFunction="sum" dataDxfId="275" totalsRowDxfId="274"/>
    <tableColumn id="4" xr3:uid="{3D88D975-AC5B-4DCB-82C1-01EA6ECD0B06}" name="Фактические" totalsRowFunction="sum" dataDxfId="273" totalsRowDxfId="272"/>
    <tableColumn id="5" xr3:uid="{89F406ED-26FC-42C5-8846-2323D8DABF9C}" name="Отклонение" totalsRowFunction="sum" dataDxfId="271" totalsRowDxfId="270">
      <calculatedColumnFormula>Расходы10[[#This Row],[Планируемые]]-Расходы10[[#This Row],[Фактические]]</calculatedColumnFormula>
    </tableColumn>
  </tableColumns>
  <tableStyleInfo name="Семейный бюджет: расходы" showFirstColumn="0" showLastColumn="0" showRowStripes="1" showColumnStripes="0"/>
  <extLst>
    <ext xmlns:x14="http://schemas.microsoft.com/office/spreadsheetml/2009/9/main" uri="{504A1905-F514-4f6f-8877-14C23A59335A}">
      <x14:table altText="Таблица расходов за месяц" altTextSummary="Введите статьи расходов за месяц, а также их планируемые и фактические значения. Отклонение будет рассчитано автоматически."/>
    </ext>
  </extLst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032027"/>
      </a:dk2>
      <a:lt2>
        <a:srgbClr val="F1F0EE"/>
      </a:lt2>
      <a:accent1>
        <a:srgbClr val="0EAACF"/>
      </a:accent1>
      <a:accent2>
        <a:srgbClr val="A1D23A"/>
      </a:accent2>
      <a:accent3>
        <a:srgbClr val="F6893A"/>
      </a:accent3>
      <a:accent4>
        <a:srgbClr val="995487"/>
      </a:accent4>
      <a:accent5>
        <a:srgbClr val="BFA26E"/>
      </a:accent5>
      <a:accent6>
        <a:srgbClr val="DE5959"/>
      </a:accent6>
      <a:hlink>
        <a:srgbClr val="E85787"/>
      </a:hlink>
      <a:folHlink>
        <a:srgbClr val="0EAACF"/>
      </a:folHlink>
    </a:clrScheme>
    <a:fontScheme name="Family budge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drawing" Target="../drawings/drawing10.xml"/><Relationship Id="rId4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drawing" Target="../drawings/drawing11.xml"/><Relationship Id="rId4" Type="http://schemas.openxmlformats.org/officeDocument/2006/relationships/table" Target="../tables/table3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drawing" Target="../drawings/drawing12.xml"/><Relationship Id="rId4" Type="http://schemas.openxmlformats.org/officeDocument/2006/relationships/table" Target="../tables/table3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drawing" Target="../drawings/drawing13.xml"/><Relationship Id="rId4" Type="http://schemas.openxmlformats.org/officeDocument/2006/relationships/table" Target="../tables/table3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4.xml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5.xml"/><Relationship Id="rId4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6.xml"/><Relationship Id="rId4" Type="http://schemas.openxmlformats.org/officeDocument/2006/relationships/table" Target="../tables/table1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drawing" Target="../drawings/drawing7.xml"/><Relationship Id="rId4" Type="http://schemas.openxmlformats.org/officeDocument/2006/relationships/table" Target="../tables/table1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drawing" Target="../drawings/drawing8.xml"/><Relationship Id="rId4" Type="http://schemas.openxmlformats.org/officeDocument/2006/relationships/table" Target="../tables/table2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drawing" Target="../drawings/drawing9.xml"/><Relationship Id="rId4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/>
    <pageSetUpPr fitToPage="1"/>
  </sheetPr>
  <dimension ref="A1:W1500"/>
  <sheetViews>
    <sheetView showGridLines="0" zoomScale="70" zoomScaleNormal="70" workbookViewId="0"/>
  </sheetViews>
  <sheetFormatPr defaultColWidth="8.7265625" defaultRowHeight="13.8" x14ac:dyDescent="0.35"/>
  <cols>
    <col min="1" max="1" width="8.7265625" style="20"/>
    <col min="2" max="2" width="1.7265625" style="16" customWidth="1"/>
    <col min="3" max="3" width="26.1796875" style="16" customWidth="1"/>
    <col min="4" max="5" width="13.1796875" style="16" customWidth="1"/>
    <col min="6" max="6" width="8.7265625" style="20"/>
    <col min="7" max="7" width="42" style="22" bestFit="1" customWidth="1"/>
    <col min="8" max="8" width="13.36328125" style="22" bestFit="1" customWidth="1"/>
    <col min="9" max="9" width="12.08984375" style="22" bestFit="1" customWidth="1"/>
    <col min="10" max="16384" width="8.7265625" style="22"/>
  </cols>
  <sheetData>
    <row r="1" spans="2:5" x14ac:dyDescent="0.35">
      <c r="B1" s="20"/>
      <c r="C1" s="20"/>
      <c r="D1" s="20"/>
      <c r="E1" s="20"/>
    </row>
    <row r="2" spans="2:5" x14ac:dyDescent="0.35">
      <c r="C2" s="15" t="s">
        <v>47</v>
      </c>
      <c r="D2" s="15"/>
      <c r="E2" s="15"/>
    </row>
    <row r="4" spans="2:5" x14ac:dyDescent="0.35">
      <c r="C4" s="17"/>
      <c r="D4" s="17" t="s">
        <v>31</v>
      </c>
      <c r="E4" s="17" t="s">
        <v>32</v>
      </c>
    </row>
    <row r="5" spans="2:5" x14ac:dyDescent="0.35">
      <c r="C5" s="17" t="s">
        <v>1</v>
      </c>
      <c r="D5" s="18">
        <f>Движение_денежных_средств[[#Totals],[Планируемые]]</f>
        <v>100</v>
      </c>
      <c r="E5" s="18">
        <f>Движение_денежных_средств[[#Totals],[Фактические]]</f>
        <v>200</v>
      </c>
    </row>
    <row r="6" spans="2:5" x14ac:dyDescent="0.35">
      <c r="C6" s="17" t="s">
        <v>5</v>
      </c>
      <c r="D6" s="18">
        <f>'Январь 2026'!C26</f>
        <v>600</v>
      </c>
      <c r="E6" s="18">
        <f>'Январь 2026'!D26</f>
        <v>800</v>
      </c>
    </row>
    <row r="7" spans="2:5" x14ac:dyDescent="0.35">
      <c r="C7" s="17" t="s">
        <v>9</v>
      </c>
      <c r="D7" s="18">
        <f>'Январь 2026'!C49</f>
        <v>500</v>
      </c>
      <c r="E7" s="18">
        <f>'Январь 2026'!D49</f>
        <v>600</v>
      </c>
    </row>
    <row r="8" spans="2:5" x14ac:dyDescent="0.35">
      <c r="B8" s="20"/>
      <c r="C8" s="20"/>
      <c r="D8" s="21"/>
      <c r="E8" s="21"/>
    </row>
    <row r="9" spans="2:5" x14ac:dyDescent="0.35">
      <c r="C9" s="15" t="s">
        <v>48</v>
      </c>
      <c r="D9" s="15"/>
      <c r="E9" s="15"/>
    </row>
    <row r="11" spans="2:5" x14ac:dyDescent="0.35">
      <c r="C11" s="17"/>
      <c r="D11" s="17" t="s">
        <v>31</v>
      </c>
      <c r="E11" s="17" t="s">
        <v>32</v>
      </c>
    </row>
    <row r="12" spans="2:5" x14ac:dyDescent="0.35">
      <c r="C12" s="17" t="s">
        <v>1</v>
      </c>
      <c r="D12" s="19">
        <f>Движение_денежных_средств5[[#Totals],[Планируемые]]</f>
        <v>0</v>
      </c>
      <c r="E12" s="19">
        <f>Движение_денежных_средств5[[#Totals],[Фактические]]</f>
        <v>0</v>
      </c>
    </row>
    <row r="13" spans="2:5" x14ac:dyDescent="0.35">
      <c r="C13" s="17" t="s">
        <v>5</v>
      </c>
      <c r="D13" s="19">
        <f>Доходы6[[#Totals],[Планируемые]]</f>
        <v>0</v>
      </c>
      <c r="E13" s="19">
        <f>Доходы6[[#Totals],[Фактические]]</f>
        <v>0</v>
      </c>
    </row>
    <row r="14" spans="2:5" x14ac:dyDescent="0.35">
      <c r="C14" s="17" t="s">
        <v>9</v>
      </c>
      <c r="D14" s="19">
        <f>Расходы7[[#Totals],[Планируемые]]</f>
        <v>0</v>
      </c>
      <c r="E14" s="19">
        <f>Расходы7[[#Totals],[Фактические]]</f>
        <v>0</v>
      </c>
    </row>
    <row r="15" spans="2:5" x14ac:dyDescent="0.35">
      <c r="B15" s="20"/>
      <c r="C15" s="20"/>
      <c r="D15" s="20"/>
      <c r="E15" s="20"/>
    </row>
    <row r="16" spans="2:5" x14ac:dyDescent="0.35">
      <c r="C16" s="15" t="s">
        <v>49</v>
      </c>
      <c r="D16" s="15"/>
      <c r="E16" s="15"/>
    </row>
    <row r="18" spans="2:5" x14ac:dyDescent="0.35">
      <c r="C18" s="17"/>
      <c r="D18" s="17" t="s">
        <v>31</v>
      </c>
      <c r="E18" s="17" t="s">
        <v>32</v>
      </c>
    </row>
    <row r="19" spans="2:5" x14ac:dyDescent="0.35">
      <c r="C19" s="17" t="s">
        <v>1</v>
      </c>
      <c r="D19" s="19">
        <f>Движение_денежных_средств8[[#Totals],[Планируемые]]</f>
        <v>0</v>
      </c>
      <c r="E19" s="19">
        <f>Движение_денежных_средств8[[#Totals],[Фактические]]</f>
        <v>0</v>
      </c>
    </row>
    <row r="20" spans="2:5" x14ac:dyDescent="0.35">
      <c r="C20" s="17" t="s">
        <v>5</v>
      </c>
      <c r="D20" s="19">
        <f>Доходы9[[#Totals],[Планируемые]]</f>
        <v>0</v>
      </c>
      <c r="E20" s="19">
        <f>Доходы9[[#Totals],[Фактические]]</f>
        <v>0</v>
      </c>
    </row>
    <row r="21" spans="2:5" x14ac:dyDescent="0.35">
      <c r="C21" s="17" t="s">
        <v>9</v>
      </c>
      <c r="D21" s="19">
        <f>Расходы10[[#Totals],[Планируемые]]</f>
        <v>0</v>
      </c>
      <c r="E21" s="19">
        <f>Расходы10[[#Totals],[Фактические]]</f>
        <v>0</v>
      </c>
    </row>
    <row r="22" spans="2:5" x14ac:dyDescent="0.35">
      <c r="B22" s="20"/>
      <c r="C22" s="20"/>
      <c r="D22" s="20"/>
      <c r="E22" s="20"/>
    </row>
    <row r="23" spans="2:5" x14ac:dyDescent="0.35">
      <c r="C23" s="15" t="s">
        <v>50</v>
      </c>
      <c r="D23" s="15"/>
      <c r="E23" s="15"/>
    </row>
    <row r="25" spans="2:5" x14ac:dyDescent="0.35">
      <c r="C25" s="17"/>
      <c r="D25" s="17" t="s">
        <v>31</v>
      </c>
      <c r="E25" s="17" t="s">
        <v>32</v>
      </c>
    </row>
    <row r="26" spans="2:5" x14ac:dyDescent="0.35">
      <c r="C26" s="17" t="s">
        <v>1</v>
      </c>
      <c r="D26" s="19">
        <f>Движение_денежных_средств11[[#Totals],[Планируемые]]</f>
        <v>0</v>
      </c>
      <c r="E26" s="19">
        <f>'Апрель 2026'!D15</f>
        <v>0</v>
      </c>
    </row>
    <row r="27" spans="2:5" x14ac:dyDescent="0.35">
      <c r="C27" s="17" t="s">
        <v>5</v>
      </c>
      <c r="D27" s="19">
        <f>Доходы12[[#Totals],[Планируемые]]</f>
        <v>0</v>
      </c>
      <c r="E27" s="19">
        <f>Доходы12[[#Totals],[Фактические]]</f>
        <v>0</v>
      </c>
    </row>
    <row r="28" spans="2:5" x14ac:dyDescent="0.35">
      <c r="C28" s="17" t="s">
        <v>9</v>
      </c>
      <c r="D28" s="19">
        <f>Расходы13[[#Totals],[Планируемые]]</f>
        <v>0</v>
      </c>
      <c r="E28" s="19">
        <f>Расходы13[[#Totals],[Фактические]]</f>
        <v>0</v>
      </c>
    </row>
    <row r="29" spans="2:5" x14ac:dyDescent="0.35">
      <c r="B29" s="20"/>
      <c r="C29" s="20"/>
      <c r="D29" s="20"/>
      <c r="E29" s="20"/>
    </row>
    <row r="30" spans="2:5" x14ac:dyDescent="0.35">
      <c r="C30" s="15" t="s">
        <v>51</v>
      </c>
      <c r="D30" s="15"/>
      <c r="E30" s="15"/>
    </row>
    <row r="32" spans="2:5" x14ac:dyDescent="0.35">
      <c r="C32" s="17"/>
      <c r="D32" s="17" t="s">
        <v>31</v>
      </c>
      <c r="E32" s="17" t="s">
        <v>32</v>
      </c>
    </row>
    <row r="33" spans="2:5" x14ac:dyDescent="0.35">
      <c r="C33" s="17" t="s">
        <v>1</v>
      </c>
      <c r="D33" s="19">
        <f>Движение_денежных_средств14[[#Totals],[Планируемые]]</f>
        <v>0</v>
      </c>
      <c r="E33" s="19">
        <f>Движение_денежных_средств14[[#Totals],[Фактические]]</f>
        <v>0</v>
      </c>
    </row>
    <row r="34" spans="2:5" x14ac:dyDescent="0.35">
      <c r="C34" s="17" t="s">
        <v>5</v>
      </c>
      <c r="D34" s="19">
        <f>Доходы15[[#Totals],[Планируемые]]</f>
        <v>0</v>
      </c>
      <c r="E34" s="19">
        <f>Доходы15[[#Totals],[Фактические]]</f>
        <v>0</v>
      </c>
    </row>
    <row r="35" spans="2:5" x14ac:dyDescent="0.35">
      <c r="C35" s="17" t="s">
        <v>9</v>
      </c>
      <c r="D35" s="19">
        <f>Расходы16[[#Totals],[Планируемые]]</f>
        <v>0</v>
      </c>
      <c r="E35" s="19">
        <f>Расходы16[[#Totals],[Фактические]]</f>
        <v>0</v>
      </c>
    </row>
    <row r="36" spans="2:5" x14ac:dyDescent="0.35">
      <c r="B36" s="20"/>
      <c r="C36" s="20"/>
      <c r="D36" s="20"/>
      <c r="E36" s="20"/>
    </row>
    <row r="37" spans="2:5" x14ac:dyDescent="0.35">
      <c r="C37" s="15" t="s">
        <v>52</v>
      </c>
      <c r="D37" s="15"/>
      <c r="E37" s="15"/>
    </row>
    <row r="39" spans="2:5" x14ac:dyDescent="0.35">
      <c r="C39" s="17"/>
      <c r="D39" s="17" t="s">
        <v>31</v>
      </c>
      <c r="E39" s="17" t="s">
        <v>32</v>
      </c>
    </row>
    <row r="40" spans="2:5" x14ac:dyDescent="0.35">
      <c r="C40" s="17" t="s">
        <v>1</v>
      </c>
      <c r="D40" s="19">
        <f>Движение_денежных_средств17[[#Totals],[Планируемые]]</f>
        <v>0</v>
      </c>
      <c r="E40" s="19">
        <f>Движение_денежных_средств17[[#Totals],[Фактические]]</f>
        <v>0</v>
      </c>
    </row>
    <row r="41" spans="2:5" x14ac:dyDescent="0.35">
      <c r="C41" s="17" t="s">
        <v>5</v>
      </c>
      <c r="D41" s="19">
        <f>Доходы18[[#Totals],[Планируемые]]</f>
        <v>0</v>
      </c>
      <c r="E41" s="19">
        <f>Доходы18[[#Totals],[Фактические]]</f>
        <v>0</v>
      </c>
    </row>
    <row r="42" spans="2:5" x14ac:dyDescent="0.35">
      <c r="C42" s="17" t="s">
        <v>9</v>
      </c>
      <c r="D42" s="19">
        <f>Расходы19[[#Totals],[Планируемые]]</f>
        <v>0</v>
      </c>
      <c r="E42" s="19">
        <f>Расходы19[[#Totals],[Фактические]]</f>
        <v>0</v>
      </c>
    </row>
    <row r="43" spans="2:5" x14ac:dyDescent="0.35">
      <c r="B43" s="20"/>
      <c r="C43" s="20"/>
      <c r="D43" s="20"/>
      <c r="E43" s="20"/>
    </row>
    <row r="44" spans="2:5" x14ac:dyDescent="0.35">
      <c r="C44" s="15" t="s">
        <v>53</v>
      </c>
      <c r="D44" s="15"/>
      <c r="E44" s="15"/>
    </row>
    <row r="46" spans="2:5" x14ac:dyDescent="0.35">
      <c r="C46" s="17"/>
      <c r="D46" s="17" t="s">
        <v>31</v>
      </c>
      <c r="E46" s="17" t="s">
        <v>32</v>
      </c>
    </row>
    <row r="47" spans="2:5" x14ac:dyDescent="0.35">
      <c r="C47" s="17" t="s">
        <v>1</v>
      </c>
      <c r="D47" s="19">
        <f>Движение_денежных_средств20[[#Totals],[Планируемые]]</f>
        <v>0</v>
      </c>
      <c r="E47" s="19">
        <f>Движение_денежных_средств20[[#Totals],[Фактические]]</f>
        <v>0</v>
      </c>
    </row>
    <row r="48" spans="2:5" x14ac:dyDescent="0.35">
      <c r="C48" s="17" t="s">
        <v>5</v>
      </c>
      <c r="D48" s="19">
        <f>Доходы21[[#Totals],[Планируемые]]</f>
        <v>0</v>
      </c>
      <c r="E48" s="19">
        <f>Доходы21[[#Totals],[Фактические]]</f>
        <v>0</v>
      </c>
    </row>
    <row r="49" spans="2:5" x14ac:dyDescent="0.35">
      <c r="C49" s="17" t="s">
        <v>9</v>
      </c>
      <c r="D49" s="19">
        <f>Расходы22[[#Totals],[Планируемые]]</f>
        <v>0</v>
      </c>
      <c r="E49" s="19">
        <f>Расходы22[[#Totals],[Фактические]]</f>
        <v>0</v>
      </c>
    </row>
    <row r="50" spans="2:5" x14ac:dyDescent="0.35">
      <c r="B50" s="20"/>
      <c r="C50" s="20"/>
      <c r="D50" s="20"/>
      <c r="E50" s="20"/>
    </row>
    <row r="51" spans="2:5" x14ac:dyDescent="0.35">
      <c r="C51" s="15" t="s">
        <v>54</v>
      </c>
      <c r="D51" s="15"/>
      <c r="E51" s="15"/>
    </row>
    <row r="53" spans="2:5" x14ac:dyDescent="0.35">
      <c r="C53" s="17"/>
      <c r="D53" s="17" t="s">
        <v>31</v>
      </c>
      <c r="E53" s="17" t="s">
        <v>32</v>
      </c>
    </row>
    <row r="54" spans="2:5" x14ac:dyDescent="0.35">
      <c r="C54" s="17" t="s">
        <v>1</v>
      </c>
      <c r="D54" s="19">
        <f>Движение_денежных_средств23[[#Totals],[Планируемые]]</f>
        <v>0</v>
      </c>
      <c r="E54" s="19">
        <f>Движение_денежных_средств23[[#Totals],[Фактические]]</f>
        <v>0</v>
      </c>
    </row>
    <row r="55" spans="2:5" x14ac:dyDescent="0.35">
      <c r="C55" s="17" t="s">
        <v>5</v>
      </c>
      <c r="D55" s="19">
        <f>Доходы24[[#Totals],[Планируемые]]</f>
        <v>0</v>
      </c>
      <c r="E55" s="19">
        <f>Доходы24[[#Totals],[Фактические]]</f>
        <v>0</v>
      </c>
    </row>
    <row r="56" spans="2:5" x14ac:dyDescent="0.35">
      <c r="C56" s="17" t="s">
        <v>9</v>
      </c>
      <c r="D56" s="19">
        <f>Расходы25[[#Totals],[Планируемые]]</f>
        <v>0</v>
      </c>
      <c r="E56" s="19">
        <f>Расходы25[[#Totals],[Фактические]]</f>
        <v>0</v>
      </c>
    </row>
    <row r="57" spans="2:5" x14ac:dyDescent="0.35">
      <c r="B57" s="20"/>
      <c r="C57" s="20"/>
      <c r="D57" s="20"/>
      <c r="E57" s="20"/>
    </row>
    <row r="58" spans="2:5" x14ac:dyDescent="0.35">
      <c r="C58" s="15" t="s">
        <v>55</v>
      </c>
      <c r="D58" s="15"/>
      <c r="E58" s="15"/>
    </row>
    <row r="60" spans="2:5" x14ac:dyDescent="0.35">
      <c r="C60" s="17"/>
      <c r="D60" s="17" t="s">
        <v>31</v>
      </c>
      <c r="E60" s="17" t="s">
        <v>32</v>
      </c>
    </row>
    <row r="61" spans="2:5" x14ac:dyDescent="0.35">
      <c r="C61" s="17" t="s">
        <v>1</v>
      </c>
      <c r="D61" s="19">
        <f>Движение_денежных_средств26[[#Totals],[Планируемые]]</f>
        <v>0</v>
      </c>
      <c r="E61" s="19">
        <f>Движение_денежных_средств26[[#Totals],[Фактические]]</f>
        <v>0</v>
      </c>
    </row>
    <row r="62" spans="2:5" x14ac:dyDescent="0.35">
      <c r="C62" s="17" t="s">
        <v>5</v>
      </c>
      <c r="D62" s="19">
        <f>Доходы27[[#Totals],[Планируемые]]</f>
        <v>0</v>
      </c>
      <c r="E62" s="19">
        <f>Доходы27[[#Totals],[Фактические]]</f>
        <v>0</v>
      </c>
    </row>
    <row r="63" spans="2:5" x14ac:dyDescent="0.35">
      <c r="C63" s="17" t="s">
        <v>9</v>
      </c>
      <c r="D63" s="19">
        <f>Расходы28[[#Totals],[Планируемые]]</f>
        <v>0</v>
      </c>
      <c r="E63" s="19">
        <f>Расходы28[[#Totals],[Фактические]]</f>
        <v>0</v>
      </c>
    </row>
    <row r="64" spans="2:5" x14ac:dyDescent="0.35">
      <c r="B64" s="20"/>
      <c r="C64" s="20"/>
      <c r="D64" s="20"/>
      <c r="E64" s="20"/>
    </row>
    <row r="65" spans="2:5" x14ac:dyDescent="0.35">
      <c r="C65" s="15" t="s">
        <v>56</v>
      </c>
      <c r="D65" s="15"/>
      <c r="E65" s="15"/>
    </row>
    <row r="67" spans="2:5" x14ac:dyDescent="0.35">
      <c r="C67" s="17"/>
      <c r="D67" s="17" t="s">
        <v>31</v>
      </c>
      <c r="E67" s="17" t="s">
        <v>32</v>
      </c>
    </row>
    <row r="68" spans="2:5" x14ac:dyDescent="0.35">
      <c r="C68" s="17" t="s">
        <v>1</v>
      </c>
      <c r="D68" s="19">
        <f>Движение_денежных_средств29[[#Totals],[Планируемые]]</f>
        <v>0</v>
      </c>
      <c r="E68" s="19">
        <f>Движение_денежных_средств29[[#Totals],[Фактические]]</f>
        <v>0</v>
      </c>
    </row>
    <row r="69" spans="2:5" x14ac:dyDescent="0.35">
      <c r="C69" s="17" t="s">
        <v>5</v>
      </c>
      <c r="D69" s="19">
        <f>Доходы30[[#Totals],[Планируемые]]</f>
        <v>0</v>
      </c>
      <c r="E69" s="19">
        <f>Доходы30[[#Totals],[Фактические]]</f>
        <v>0</v>
      </c>
    </row>
    <row r="70" spans="2:5" x14ac:dyDescent="0.35">
      <c r="C70" s="17" t="s">
        <v>9</v>
      </c>
      <c r="D70" s="19">
        <f>Расходы31[[#Totals],[Планируемые]]</f>
        <v>0</v>
      </c>
      <c r="E70" s="19">
        <f>Расходы31[[#Totals],[Фактические]]</f>
        <v>0</v>
      </c>
    </row>
    <row r="71" spans="2:5" x14ac:dyDescent="0.35">
      <c r="B71" s="20"/>
      <c r="C71" s="20"/>
      <c r="D71" s="20"/>
      <c r="E71" s="20"/>
    </row>
    <row r="72" spans="2:5" x14ac:dyDescent="0.35">
      <c r="C72" s="15" t="s">
        <v>57</v>
      </c>
      <c r="D72" s="15"/>
      <c r="E72" s="15"/>
    </row>
    <row r="74" spans="2:5" x14ac:dyDescent="0.35">
      <c r="C74" s="17"/>
      <c r="D74" s="17" t="s">
        <v>31</v>
      </c>
      <c r="E74" s="17" t="s">
        <v>32</v>
      </c>
    </row>
    <row r="75" spans="2:5" x14ac:dyDescent="0.35">
      <c r="C75" s="17" t="s">
        <v>1</v>
      </c>
      <c r="D75" s="19">
        <f>Движение_денежных_средств32[[#Totals],[Планируемые]]</f>
        <v>0</v>
      </c>
      <c r="E75" s="19">
        <f>Движение_денежных_средств32[[#Totals],[Фактические]]</f>
        <v>0</v>
      </c>
    </row>
    <row r="76" spans="2:5" x14ac:dyDescent="0.35">
      <c r="C76" s="17" t="s">
        <v>5</v>
      </c>
      <c r="D76" s="19">
        <f>Доходы33[[#Totals],[Планируемые]]</f>
        <v>0</v>
      </c>
      <c r="E76" s="19">
        <f>Доходы33[[#Totals],[Фактические]]</f>
        <v>0</v>
      </c>
    </row>
    <row r="77" spans="2:5" x14ac:dyDescent="0.35">
      <c r="C77" s="17" t="s">
        <v>9</v>
      </c>
      <c r="D77" s="19">
        <f>Расходы34[[#Totals],[Планируемые]]</f>
        <v>0</v>
      </c>
      <c r="E77" s="19">
        <f>Расходы34[[#Totals],[Фактические]]</f>
        <v>0</v>
      </c>
    </row>
    <row r="78" spans="2:5" x14ac:dyDescent="0.35">
      <c r="B78" s="20"/>
      <c r="C78" s="20"/>
      <c r="D78" s="20"/>
      <c r="E78" s="20"/>
    </row>
    <row r="79" spans="2:5" x14ac:dyDescent="0.35">
      <c r="C79" s="15" t="s">
        <v>58</v>
      </c>
      <c r="D79" s="15"/>
      <c r="E79" s="15"/>
    </row>
    <row r="81" spans="1:23" x14ac:dyDescent="0.35">
      <c r="C81" s="17"/>
      <c r="D81" s="17" t="s">
        <v>31</v>
      </c>
      <c r="E81" s="17" t="s">
        <v>32</v>
      </c>
    </row>
    <row r="82" spans="1:23" x14ac:dyDescent="0.35">
      <c r="C82" s="17" t="s">
        <v>1</v>
      </c>
      <c r="D82" s="19">
        <f>Движение_денежных_средств35[[#Totals],[Планируемые]]</f>
        <v>0</v>
      </c>
      <c r="E82" s="19">
        <f>Движение_денежных_средств35[[#Totals],[Фактические]]</f>
        <v>0</v>
      </c>
    </row>
    <row r="83" spans="1:23" x14ac:dyDescent="0.35">
      <c r="C83" s="17" t="s">
        <v>5</v>
      </c>
      <c r="D83" s="19">
        <f>Доходы36[[#Totals],[Планируемые]]</f>
        <v>0</v>
      </c>
      <c r="E83" s="19">
        <f>Доходы36[[#Totals],[Фактические]]</f>
        <v>0</v>
      </c>
    </row>
    <row r="84" spans="1:23" x14ac:dyDescent="0.35">
      <c r="C84" s="17" t="s">
        <v>9</v>
      </c>
      <c r="D84" s="19">
        <f>Расходы37[[#Totals],[Планируемые]]</f>
        <v>0</v>
      </c>
      <c r="E84" s="19">
        <f>Расходы37[[#Totals],[Фактические]]</f>
        <v>0</v>
      </c>
    </row>
    <row r="85" spans="1:23" x14ac:dyDescent="0.35">
      <c r="B85" s="20"/>
      <c r="C85" s="20"/>
      <c r="D85" s="20"/>
      <c r="E85" s="20"/>
    </row>
    <row r="86" spans="1:23" x14ac:dyDescent="0.35">
      <c r="C86" s="15" t="s">
        <v>61</v>
      </c>
      <c r="D86" s="15"/>
      <c r="E86" s="15"/>
    </row>
    <row r="88" spans="1:23" x14ac:dyDescent="0.35">
      <c r="C88" s="17"/>
      <c r="D88" s="17" t="s">
        <v>31</v>
      </c>
      <c r="E88" s="17" t="s">
        <v>32</v>
      </c>
    </row>
    <row r="89" spans="1:23" x14ac:dyDescent="0.35">
      <c r="C89" s="17" t="s">
        <v>1</v>
      </c>
      <c r="D89" s="19">
        <f>D5+D12+D19+D26+D33+D40+D47+D54+D61+D68+D75+D82</f>
        <v>100</v>
      </c>
      <c r="E89" s="19">
        <f>E5+E12+E19+E26+E33+E40+E47+E54+E61+E68+E75+E82</f>
        <v>200</v>
      </c>
    </row>
    <row r="90" spans="1:23" x14ac:dyDescent="0.35">
      <c r="C90" s="17" t="s">
        <v>5</v>
      </c>
      <c r="D90" s="19">
        <f t="shared" ref="D90:E90" si="0">D6+D13+D20+D27+D34+D41+D48+D55+D62+D69+D76+D83</f>
        <v>600</v>
      </c>
      <c r="E90" s="19">
        <f t="shared" si="0"/>
        <v>800</v>
      </c>
    </row>
    <row r="91" spans="1:23" x14ac:dyDescent="0.35">
      <c r="C91" s="17" t="s">
        <v>9</v>
      </c>
      <c r="D91" s="19">
        <f t="shared" ref="D91:E91" si="1">D7+D14+D21+D28+D35+D42+D49+D56+D63+D70+D77+D84</f>
        <v>500</v>
      </c>
      <c r="E91" s="19">
        <f t="shared" si="1"/>
        <v>600</v>
      </c>
    </row>
    <row r="92" spans="1:23" x14ac:dyDescent="0.35">
      <c r="B92" s="20"/>
      <c r="C92" s="20"/>
      <c r="D92" s="20"/>
      <c r="E92" s="20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1:23" ht="17.399999999999999" x14ac:dyDescent="0.35">
      <c r="A93" s="22"/>
      <c r="B93" s="26"/>
      <c r="C93" s="26"/>
      <c r="D93" s="22"/>
      <c r="E93" s="22"/>
      <c r="F93" s="22"/>
    </row>
    <row r="94" spans="1:23" ht="17.399999999999999" x14ac:dyDescent="0.35">
      <c r="A94" s="22"/>
      <c r="B94" s="26"/>
      <c r="C94" s="26"/>
      <c r="D94" s="22"/>
      <c r="E94" s="22"/>
      <c r="F94" s="22"/>
    </row>
    <row r="95" spans="1:23" ht="17.399999999999999" x14ac:dyDescent="0.35">
      <c r="A95" s="22"/>
      <c r="B95" s="26"/>
      <c r="C95" s="26"/>
      <c r="D95" s="22"/>
      <c r="E95" s="22"/>
      <c r="F95" s="22"/>
    </row>
    <row r="96" spans="1:23" ht="17.399999999999999" x14ac:dyDescent="0.35">
      <c r="A96" s="22"/>
      <c r="B96" s="26"/>
      <c r="C96" s="26"/>
      <c r="D96" s="22"/>
      <c r="E96" s="22"/>
      <c r="F96" s="22"/>
    </row>
    <row r="97" spans="2:3" s="22" customFormat="1" ht="17.399999999999999" x14ac:dyDescent="0.35">
      <c r="B97" s="26"/>
      <c r="C97" s="26"/>
    </row>
    <row r="98" spans="2:3" s="22" customFormat="1" x14ac:dyDescent="0.35"/>
    <row r="99" spans="2:3" s="22" customFormat="1" x14ac:dyDescent="0.35"/>
    <row r="100" spans="2:3" s="22" customFormat="1" x14ac:dyDescent="0.35"/>
    <row r="101" spans="2:3" s="22" customFormat="1" x14ac:dyDescent="0.35"/>
    <row r="102" spans="2:3" s="22" customFormat="1" x14ac:dyDescent="0.35"/>
    <row r="103" spans="2:3" s="22" customFormat="1" x14ac:dyDescent="0.35"/>
    <row r="104" spans="2:3" s="22" customFormat="1" x14ac:dyDescent="0.35"/>
    <row r="105" spans="2:3" s="22" customFormat="1" x14ac:dyDescent="0.35"/>
    <row r="106" spans="2:3" s="22" customFormat="1" x14ac:dyDescent="0.35"/>
    <row r="107" spans="2:3" s="22" customFormat="1" x14ac:dyDescent="0.35"/>
    <row r="108" spans="2:3" s="22" customFormat="1" x14ac:dyDescent="0.35"/>
    <row r="109" spans="2:3" s="22" customFormat="1" x14ac:dyDescent="0.35"/>
    <row r="110" spans="2:3" s="22" customFormat="1" x14ac:dyDescent="0.35"/>
    <row r="111" spans="2:3" s="22" customFormat="1" x14ac:dyDescent="0.35"/>
    <row r="112" spans="2:3" s="22" customFormat="1" x14ac:dyDescent="0.35"/>
    <row r="113" s="22" customFormat="1" x14ac:dyDescent="0.35"/>
    <row r="114" s="22" customFormat="1" x14ac:dyDescent="0.35"/>
    <row r="115" s="22" customFormat="1" x14ac:dyDescent="0.35"/>
    <row r="116" s="22" customFormat="1" x14ac:dyDescent="0.35"/>
    <row r="117" s="22" customFormat="1" x14ac:dyDescent="0.35"/>
    <row r="118" s="22" customFormat="1" x14ac:dyDescent="0.35"/>
    <row r="119" s="22" customFormat="1" x14ac:dyDescent="0.35"/>
    <row r="120" s="22" customFormat="1" x14ac:dyDescent="0.35"/>
    <row r="121" s="22" customFormat="1" x14ac:dyDescent="0.35"/>
    <row r="122" s="22" customFormat="1" x14ac:dyDescent="0.35"/>
    <row r="123" s="22" customFormat="1" x14ac:dyDescent="0.35"/>
    <row r="124" s="22" customFormat="1" x14ac:dyDescent="0.35"/>
    <row r="125" s="22" customFormat="1" x14ac:dyDescent="0.35"/>
    <row r="126" s="22" customFormat="1" x14ac:dyDescent="0.35"/>
    <row r="127" s="22" customFormat="1" x14ac:dyDescent="0.35"/>
    <row r="128" s="22" customFormat="1" x14ac:dyDescent="0.35"/>
    <row r="129" s="22" customFormat="1" x14ac:dyDescent="0.35"/>
    <row r="130" s="22" customFormat="1" x14ac:dyDescent="0.35"/>
    <row r="131" s="22" customFormat="1" x14ac:dyDescent="0.35"/>
    <row r="132" s="22" customFormat="1" x14ac:dyDescent="0.35"/>
    <row r="133" s="22" customFormat="1" x14ac:dyDescent="0.35"/>
    <row r="134" s="22" customFormat="1" x14ac:dyDescent="0.35"/>
    <row r="135" s="22" customFormat="1" x14ac:dyDescent="0.35"/>
    <row r="136" s="22" customFormat="1" x14ac:dyDescent="0.35"/>
    <row r="137" s="22" customFormat="1" x14ac:dyDescent="0.35"/>
    <row r="138" s="22" customFormat="1" x14ac:dyDescent="0.35"/>
    <row r="139" s="22" customFormat="1" x14ac:dyDescent="0.35"/>
    <row r="140" s="22" customFormat="1" x14ac:dyDescent="0.35"/>
    <row r="141" s="22" customFormat="1" x14ac:dyDescent="0.35"/>
    <row r="142" s="22" customFormat="1" x14ac:dyDescent="0.35"/>
    <row r="143" s="22" customFormat="1" x14ac:dyDescent="0.35"/>
    <row r="144" s="22" customFormat="1" x14ac:dyDescent="0.35"/>
    <row r="145" s="22" customFormat="1" x14ac:dyDescent="0.35"/>
    <row r="146" s="22" customFormat="1" x14ac:dyDescent="0.35"/>
    <row r="147" s="22" customFormat="1" x14ac:dyDescent="0.35"/>
    <row r="148" s="22" customFormat="1" x14ac:dyDescent="0.35"/>
    <row r="149" s="22" customFormat="1" x14ac:dyDescent="0.35"/>
    <row r="150" s="22" customFormat="1" x14ac:dyDescent="0.35"/>
    <row r="151" s="22" customFormat="1" x14ac:dyDescent="0.35"/>
    <row r="152" s="22" customFormat="1" x14ac:dyDescent="0.35"/>
    <row r="153" s="22" customFormat="1" x14ac:dyDescent="0.35"/>
    <row r="154" s="22" customFormat="1" x14ac:dyDescent="0.35"/>
    <row r="155" s="22" customFormat="1" x14ac:dyDescent="0.35"/>
    <row r="156" s="22" customFormat="1" x14ac:dyDescent="0.35"/>
    <row r="157" s="22" customFormat="1" x14ac:dyDescent="0.35"/>
    <row r="158" s="22" customFormat="1" x14ac:dyDescent="0.35"/>
    <row r="159" s="22" customFormat="1" x14ac:dyDescent="0.35"/>
    <row r="160" s="22" customFormat="1" x14ac:dyDescent="0.35"/>
    <row r="161" s="22" customFormat="1" x14ac:dyDescent="0.35"/>
    <row r="162" s="22" customFormat="1" x14ac:dyDescent="0.35"/>
    <row r="163" s="22" customFormat="1" x14ac:dyDescent="0.35"/>
    <row r="164" s="22" customFormat="1" x14ac:dyDescent="0.35"/>
    <row r="165" s="22" customFormat="1" x14ac:dyDescent="0.35"/>
    <row r="166" s="22" customFormat="1" x14ac:dyDescent="0.35"/>
    <row r="167" s="22" customFormat="1" x14ac:dyDescent="0.35"/>
    <row r="168" s="22" customFormat="1" x14ac:dyDescent="0.35"/>
    <row r="169" s="22" customFormat="1" x14ac:dyDescent="0.35"/>
    <row r="170" s="22" customFormat="1" x14ac:dyDescent="0.35"/>
    <row r="171" s="22" customFormat="1" x14ac:dyDescent="0.35"/>
    <row r="172" s="22" customFormat="1" x14ac:dyDescent="0.35"/>
    <row r="173" s="22" customFormat="1" x14ac:dyDescent="0.35"/>
    <row r="174" s="22" customFormat="1" x14ac:dyDescent="0.35"/>
    <row r="175" s="22" customFormat="1" x14ac:dyDescent="0.35"/>
    <row r="176" s="22" customFormat="1" x14ac:dyDescent="0.35"/>
    <row r="177" s="22" customFormat="1" x14ac:dyDescent="0.35"/>
    <row r="178" s="22" customFormat="1" x14ac:dyDescent="0.35"/>
    <row r="179" s="22" customFormat="1" x14ac:dyDescent="0.35"/>
    <row r="180" s="22" customFormat="1" x14ac:dyDescent="0.35"/>
    <row r="181" s="22" customFormat="1" x14ac:dyDescent="0.35"/>
    <row r="182" s="22" customFormat="1" x14ac:dyDescent="0.35"/>
    <row r="183" s="22" customFormat="1" x14ac:dyDescent="0.35"/>
    <row r="184" s="22" customFormat="1" x14ac:dyDescent="0.35"/>
    <row r="185" s="22" customFormat="1" x14ac:dyDescent="0.35"/>
    <row r="186" s="22" customFormat="1" x14ac:dyDescent="0.35"/>
    <row r="187" s="22" customFormat="1" x14ac:dyDescent="0.35"/>
    <row r="188" s="22" customFormat="1" x14ac:dyDescent="0.35"/>
    <row r="189" s="22" customFormat="1" x14ac:dyDescent="0.35"/>
    <row r="190" s="22" customFormat="1" x14ac:dyDescent="0.35"/>
    <row r="191" s="22" customFormat="1" x14ac:dyDescent="0.35"/>
    <row r="192" s="22" customFormat="1" x14ac:dyDescent="0.35"/>
    <row r="193" s="22" customFormat="1" x14ac:dyDescent="0.35"/>
    <row r="194" s="22" customFormat="1" x14ac:dyDescent="0.35"/>
    <row r="195" s="22" customFormat="1" x14ac:dyDescent="0.35"/>
    <row r="196" s="22" customFormat="1" x14ac:dyDescent="0.35"/>
    <row r="197" s="22" customFormat="1" x14ac:dyDescent="0.35"/>
    <row r="198" s="22" customFormat="1" x14ac:dyDescent="0.35"/>
    <row r="199" s="22" customFormat="1" x14ac:dyDescent="0.35"/>
    <row r="200" s="22" customFormat="1" x14ac:dyDescent="0.35"/>
    <row r="201" s="22" customFormat="1" x14ac:dyDescent="0.35"/>
    <row r="202" s="22" customFormat="1" x14ac:dyDescent="0.35"/>
    <row r="203" s="22" customFormat="1" x14ac:dyDescent="0.35"/>
    <row r="204" s="22" customFormat="1" x14ac:dyDescent="0.35"/>
    <row r="205" s="22" customFormat="1" x14ac:dyDescent="0.35"/>
    <row r="206" s="22" customFormat="1" x14ac:dyDescent="0.35"/>
    <row r="207" s="22" customFormat="1" x14ac:dyDescent="0.35"/>
    <row r="208" s="22" customFormat="1" x14ac:dyDescent="0.35"/>
    <row r="209" s="22" customFormat="1" x14ac:dyDescent="0.35"/>
    <row r="210" s="22" customFormat="1" x14ac:dyDescent="0.35"/>
    <row r="211" s="22" customFormat="1" x14ac:dyDescent="0.35"/>
    <row r="212" s="22" customFormat="1" x14ac:dyDescent="0.35"/>
    <row r="213" s="22" customFormat="1" x14ac:dyDescent="0.35"/>
    <row r="214" s="22" customFormat="1" x14ac:dyDescent="0.35"/>
    <row r="215" s="22" customFormat="1" x14ac:dyDescent="0.35"/>
    <row r="216" s="22" customFormat="1" x14ac:dyDescent="0.35"/>
    <row r="217" s="22" customFormat="1" x14ac:dyDescent="0.35"/>
    <row r="218" s="22" customFormat="1" x14ac:dyDescent="0.35"/>
    <row r="219" s="22" customFormat="1" x14ac:dyDescent="0.35"/>
    <row r="220" s="22" customFormat="1" x14ac:dyDescent="0.35"/>
    <row r="221" s="22" customFormat="1" x14ac:dyDescent="0.35"/>
    <row r="222" s="22" customFormat="1" x14ac:dyDescent="0.35"/>
    <row r="223" s="22" customFormat="1" x14ac:dyDescent="0.35"/>
    <row r="224" s="22" customFormat="1" x14ac:dyDescent="0.35"/>
    <row r="225" s="22" customFormat="1" x14ac:dyDescent="0.35"/>
    <row r="226" s="22" customFormat="1" x14ac:dyDescent="0.35"/>
    <row r="227" s="22" customFormat="1" x14ac:dyDescent="0.35"/>
    <row r="228" s="22" customFormat="1" x14ac:dyDescent="0.35"/>
    <row r="229" s="22" customFormat="1" x14ac:dyDescent="0.35"/>
    <row r="230" s="22" customFormat="1" x14ac:dyDescent="0.35"/>
    <row r="231" s="22" customFormat="1" x14ac:dyDescent="0.35"/>
    <row r="232" s="22" customFormat="1" x14ac:dyDescent="0.35"/>
    <row r="233" s="22" customFormat="1" x14ac:dyDescent="0.35"/>
    <row r="234" s="22" customFormat="1" x14ac:dyDescent="0.35"/>
    <row r="235" s="22" customFormat="1" x14ac:dyDescent="0.35"/>
    <row r="236" s="22" customFormat="1" x14ac:dyDescent="0.35"/>
    <row r="237" s="22" customFormat="1" x14ac:dyDescent="0.35"/>
    <row r="238" s="22" customFormat="1" x14ac:dyDescent="0.35"/>
    <row r="239" s="22" customFormat="1" x14ac:dyDescent="0.35"/>
    <row r="240" s="22" customFormat="1" x14ac:dyDescent="0.35"/>
    <row r="241" s="22" customFormat="1" x14ac:dyDescent="0.35"/>
    <row r="242" s="22" customFormat="1" x14ac:dyDescent="0.35"/>
    <row r="243" s="22" customFormat="1" x14ac:dyDescent="0.35"/>
    <row r="244" s="22" customFormat="1" x14ac:dyDescent="0.35"/>
    <row r="245" s="22" customFormat="1" x14ac:dyDescent="0.35"/>
    <row r="246" s="22" customFormat="1" x14ac:dyDescent="0.35"/>
    <row r="247" s="22" customFormat="1" x14ac:dyDescent="0.35"/>
    <row r="248" s="22" customFormat="1" x14ac:dyDescent="0.35"/>
    <row r="249" s="22" customFormat="1" x14ac:dyDescent="0.35"/>
    <row r="250" s="22" customFormat="1" x14ac:dyDescent="0.35"/>
    <row r="251" s="22" customFormat="1" x14ac:dyDescent="0.35"/>
    <row r="252" s="22" customFormat="1" x14ac:dyDescent="0.35"/>
    <row r="253" s="22" customFormat="1" x14ac:dyDescent="0.35"/>
    <row r="254" s="22" customFormat="1" x14ac:dyDescent="0.35"/>
    <row r="255" s="22" customFormat="1" x14ac:dyDescent="0.35"/>
    <row r="256" s="22" customFormat="1" x14ac:dyDescent="0.35"/>
    <row r="257" s="22" customFormat="1" x14ac:dyDescent="0.35"/>
    <row r="258" s="22" customFormat="1" x14ac:dyDescent="0.35"/>
    <row r="259" s="22" customFormat="1" x14ac:dyDescent="0.35"/>
    <row r="260" s="22" customFormat="1" x14ac:dyDescent="0.35"/>
    <row r="261" s="22" customFormat="1" x14ac:dyDescent="0.35"/>
    <row r="262" s="22" customFormat="1" x14ac:dyDescent="0.35"/>
    <row r="263" s="22" customFormat="1" x14ac:dyDescent="0.35"/>
    <row r="264" s="22" customFormat="1" x14ac:dyDescent="0.35"/>
    <row r="265" s="22" customFormat="1" x14ac:dyDescent="0.35"/>
    <row r="266" s="22" customFormat="1" x14ac:dyDescent="0.35"/>
    <row r="267" s="22" customFormat="1" x14ac:dyDescent="0.35"/>
    <row r="268" s="22" customFormat="1" x14ac:dyDescent="0.35"/>
    <row r="269" s="22" customFormat="1" x14ac:dyDescent="0.35"/>
    <row r="270" s="22" customFormat="1" x14ac:dyDescent="0.35"/>
    <row r="271" s="22" customFormat="1" x14ac:dyDescent="0.35"/>
    <row r="272" s="22" customFormat="1" x14ac:dyDescent="0.35"/>
    <row r="273" s="22" customFormat="1" x14ac:dyDescent="0.35"/>
    <row r="274" s="22" customFormat="1" x14ac:dyDescent="0.35"/>
    <row r="275" s="22" customFormat="1" x14ac:dyDescent="0.35"/>
    <row r="276" s="22" customFormat="1" x14ac:dyDescent="0.35"/>
    <row r="277" s="22" customFormat="1" x14ac:dyDescent="0.35"/>
    <row r="278" s="22" customFormat="1" x14ac:dyDescent="0.35"/>
    <row r="279" s="22" customFormat="1" x14ac:dyDescent="0.35"/>
    <row r="280" s="22" customFormat="1" x14ac:dyDescent="0.35"/>
    <row r="281" s="22" customFormat="1" x14ac:dyDescent="0.35"/>
    <row r="282" s="22" customFormat="1" x14ac:dyDescent="0.35"/>
    <row r="283" s="22" customFormat="1" x14ac:dyDescent="0.35"/>
    <row r="284" s="22" customFormat="1" x14ac:dyDescent="0.35"/>
    <row r="285" s="22" customFormat="1" x14ac:dyDescent="0.35"/>
    <row r="286" s="22" customFormat="1" x14ac:dyDescent="0.35"/>
    <row r="287" s="22" customFormat="1" x14ac:dyDescent="0.35"/>
    <row r="288" s="22" customFormat="1" x14ac:dyDescent="0.35"/>
    <row r="289" s="22" customFormat="1" x14ac:dyDescent="0.35"/>
    <row r="290" s="22" customFormat="1" x14ac:dyDescent="0.35"/>
    <row r="291" s="22" customFormat="1" x14ac:dyDescent="0.35"/>
    <row r="292" s="22" customFormat="1" x14ac:dyDescent="0.35"/>
    <row r="293" s="22" customFormat="1" x14ac:dyDescent="0.35"/>
    <row r="294" s="22" customFormat="1" x14ac:dyDescent="0.35"/>
    <row r="295" s="22" customFormat="1" x14ac:dyDescent="0.35"/>
    <row r="296" s="22" customFormat="1" x14ac:dyDescent="0.35"/>
    <row r="297" s="22" customFormat="1" x14ac:dyDescent="0.35"/>
    <row r="298" s="22" customFormat="1" x14ac:dyDescent="0.35"/>
    <row r="299" s="22" customFormat="1" x14ac:dyDescent="0.35"/>
    <row r="300" s="22" customFormat="1" x14ac:dyDescent="0.35"/>
    <row r="301" s="22" customFormat="1" x14ac:dyDescent="0.35"/>
    <row r="302" s="22" customFormat="1" x14ac:dyDescent="0.35"/>
    <row r="303" s="22" customFormat="1" x14ac:dyDescent="0.35"/>
    <row r="304" s="22" customFormat="1" x14ac:dyDescent="0.35"/>
    <row r="305" s="22" customFormat="1" x14ac:dyDescent="0.35"/>
    <row r="306" s="22" customFormat="1" x14ac:dyDescent="0.35"/>
    <row r="307" s="22" customFormat="1" x14ac:dyDescent="0.35"/>
    <row r="308" s="22" customFormat="1" x14ac:dyDescent="0.35"/>
    <row r="309" s="22" customFormat="1" x14ac:dyDescent="0.35"/>
    <row r="310" s="22" customFormat="1" x14ac:dyDescent="0.35"/>
    <row r="311" s="22" customFormat="1" x14ac:dyDescent="0.35"/>
    <row r="312" s="22" customFormat="1" x14ac:dyDescent="0.35"/>
    <row r="313" s="22" customFormat="1" x14ac:dyDescent="0.35"/>
    <row r="314" s="22" customFormat="1" x14ac:dyDescent="0.35"/>
    <row r="315" s="22" customFormat="1" x14ac:dyDescent="0.35"/>
    <row r="316" s="22" customFormat="1" x14ac:dyDescent="0.35"/>
    <row r="317" s="22" customFormat="1" x14ac:dyDescent="0.35"/>
    <row r="318" s="22" customFormat="1" x14ac:dyDescent="0.35"/>
    <row r="319" s="22" customFormat="1" x14ac:dyDescent="0.35"/>
    <row r="320" s="22" customFormat="1" x14ac:dyDescent="0.35"/>
    <row r="321" s="22" customFormat="1" x14ac:dyDescent="0.35"/>
    <row r="322" s="22" customFormat="1" x14ac:dyDescent="0.35"/>
    <row r="323" s="22" customFormat="1" x14ac:dyDescent="0.35"/>
    <row r="324" s="22" customFormat="1" x14ac:dyDescent="0.35"/>
    <row r="325" s="22" customFormat="1" x14ac:dyDescent="0.35"/>
    <row r="326" s="22" customFormat="1" x14ac:dyDescent="0.35"/>
    <row r="327" s="22" customFormat="1" x14ac:dyDescent="0.35"/>
    <row r="328" s="22" customFormat="1" x14ac:dyDescent="0.35"/>
    <row r="329" s="22" customFormat="1" x14ac:dyDescent="0.35"/>
    <row r="330" s="22" customFormat="1" x14ac:dyDescent="0.35"/>
    <row r="331" s="22" customFormat="1" x14ac:dyDescent="0.35"/>
    <row r="332" s="22" customFormat="1" x14ac:dyDescent="0.35"/>
    <row r="333" s="22" customFormat="1" x14ac:dyDescent="0.35"/>
    <row r="334" s="22" customFormat="1" x14ac:dyDescent="0.35"/>
    <row r="335" s="22" customFormat="1" x14ac:dyDescent="0.35"/>
    <row r="336" s="22" customFormat="1" x14ac:dyDescent="0.35"/>
    <row r="337" s="22" customFormat="1" x14ac:dyDescent="0.35"/>
    <row r="338" s="22" customFormat="1" x14ac:dyDescent="0.35"/>
    <row r="339" s="22" customFormat="1" x14ac:dyDescent="0.35"/>
    <row r="340" s="22" customFormat="1" x14ac:dyDescent="0.35"/>
    <row r="341" s="22" customFormat="1" x14ac:dyDescent="0.35"/>
    <row r="342" s="22" customFormat="1" x14ac:dyDescent="0.35"/>
    <row r="343" s="22" customFormat="1" x14ac:dyDescent="0.35"/>
    <row r="344" s="22" customFormat="1" x14ac:dyDescent="0.35"/>
    <row r="345" s="22" customFormat="1" x14ac:dyDescent="0.35"/>
    <row r="346" s="22" customFormat="1" x14ac:dyDescent="0.35"/>
    <row r="347" s="22" customFormat="1" x14ac:dyDescent="0.35"/>
    <row r="348" s="22" customFormat="1" x14ac:dyDescent="0.35"/>
    <row r="349" s="22" customFormat="1" x14ac:dyDescent="0.35"/>
    <row r="350" s="22" customFormat="1" x14ac:dyDescent="0.35"/>
    <row r="351" s="22" customFormat="1" x14ac:dyDescent="0.35"/>
    <row r="352" s="22" customFormat="1" x14ac:dyDescent="0.35"/>
    <row r="353" s="22" customFormat="1" x14ac:dyDescent="0.35"/>
    <row r="354" s="22" customFormat="1" x14ac:dyDescent="0.35"/>
    <row r="355" s="22" customFormat="1" x14ac:dyDescent="0.35"/>
    <row r="356" s="22" customFormat="1" x14ac:dyDescent="0.35"/>
    <row r="357" s="22" customFormat="1" x14ac:dyDescent="0.35"/>
    <row r="358" s="22" customFormat="1" x14ac:dyDescent="0.35"/>
    <row r="359" s="22" customFormat="1" x14ac:dyDescent="0.35"/>
    <row r="360" s="22" customFormat="1" x14ac:dyDescent="0.35"/>
    <row r="361" s="22" customFormat="1" x14ac:dyDescent="0.35"/>
    <row r="362" s="22" customFormat="1" x14ac:dyDescent="0.35"/>
    <row r="363" s="22" customFormat="1" x14ac:dyDescent="0.35"/>
    <row r="364" s="22" customFormat="1" x14ac:dyDescent="0.35"/>
    <row r="365" s="22" customFormat="1" x14ac:dyDescent="0.35"/>
    <row r="366" s="22" customFormat="1" x14ac:dyDescent="0.35"/>
    <row r="367" s="22" customFormat="1" x14ac:dyDescent="0.35"/>
    <row r="368" s="22" customFormat="1" x14ac:dyDescent="0.35"/>
    <row r="369" s="22" customFormat="1" x14ac:dyDescent="0.35"/>
    <row r="370" s="22" customFormat="1" x14ac:dyDescent="0.35"/>
    <row r="371" s="22" customFormat="1" x14ac:dyDescent="0.35"/>
    <row r="372" s="22" customFormat="1" x14ac:dyDescent="0.35"/>
    <row r="373" s="22" customFormat="1" x14ac:dyDescent="0.35"/>
    <row r="374" s="22" customFormat="1" x14ac:dyDescent="0.35"/>
    <row r="375" s="22" customFormat="1" x14ac:dyDescent="0.35"/>
    <row r="376" s="22" customFormat="1" x14ac:dyDescent="0.35"/>
    <row r="377" s="22" customFormat="1" x14ac:dyDescent="0.35"/>
    <row r="378" s="22" customFormat="1" x14ac:dyDescent="0.35"/>
    <row r="379" s="22" customFormat="1" x14ac:dyDescent="0.35"/>
    <row r="380" s="22" customFormat="1" x14ac:dyDescent="0.35"/>
    <row r="381" s="22" customFormat="1" x14ac:dyDescent="0.35"/>
    <row r="382" s="22" customFormat="1" x14ac:dyDescent="0.35"/>
    <row r="383" s="22" customFormat="1" x14ac:dyDescent="0.35"/>
    <row r="384" s="22" customFormat="1" x14ac:dyDescent="0.35"/>
    <row r="385" s="22" customFormat="1" x14ac:dyDescent="0.35"/>
    <row r="386" s="22" customFormat="1" x14ac:dyDescent="0.35"/>
    <row r="387" s="22" customFormat="1" x14ac:dyDescent="0.35"/>
    <row r="388" s="22" customFormat="1" x14ac:dyDescent="0.35"/>
    <row r="389" s="22" customFormat="1" x14ac:dyDescent="0.35"/>
    <row r="390" s="22" customFormat="1" x14ac:dyDescent="0.35"/>
    <row r="391" s="22" customFormat="1" x14ac:dyDescent="0.35"/>
    <row r="392" s="22" customFormat="1" x14ac:dyDescent="0.35"/>
    <row r="393" s="22" customFormat="1" x14ac:dyDescent="0.35"/>
    <row r="394" s="22" customFormat="1" x14ac:dyDescent="0.35"/>
    <row r="395" s="22" customFormat="1" x14ac:dyDescent="0.35"/>
    <row r="396" s="22" customFormat="1" x14ac:dyDescent="0.35"/>
    <row r="397" s="22" customFormat="1" x14ac:dyDescent="0.35"/>
    <row r="398" s="22" customFormat="1" x14ac:dyDescent="0.35"/>
    <row r="399" s="22" customFormat="1" x14ac:dyDescent="0.35"/>
    <row r="400" s="22" customFormat="1" x14ac:dyDescent="0.35"/>
    <row r="401" s="22" customFormat="1" x14ac:dyDescent="0.35"/>
    <row r="402" s="22" customFormat="1" x14ac:dyDescent="0.35"/>
    <row r="403" s="22" customFormat="1" x14ac:dyDescent="0.35"/>
    <row r="404" s="22" customFormat="1" x14ac:dyDescent="0.35"/>
    <row r="405" s="22" customFormat="1" x14ac:dyDescent="0.35"/>
    <row r="406" s="22" customFormat="1" x14ac:dyDescent="0.35"/>
    <row r="407" s="22" customFormat="1" x14ac:dyDescent="0.35"/>
    <row r="408" s="22" customFormat="1" x14ac:dyDescent="0.35"/>
    <row r="409" s="22" customFormat="1" x14ac:dyDescent="0.35"/>
    <row r="410" s="22" customFormat="1" x14ac:dyDescent="0.35"/>
    <row r="411" s="22" customFormat="1" x14ac:dyDescent="0.35"/>
    <row r="412" s="22" customFormat="1" x14ac:dyDescent="0.35"/>
    <row r="413" s="22" customFormat="1" x14ac:dyDescent="0.35"/>
    <row r="414" s="22" customFormat="1" x14ac:dyDescent="0.35"/>
    <row r="415" s="22" customFormat="1" x14ac:dyDescent="0.35"/>
    <row r="416" s="22" customFormat="1" x14ac:dyDescent="0.35"/>
    <row r="417" s="22" customFormat="1" x14ac:dyDescent="0.35"/>
    <row r="418" s="22" customFormat="1" x14ac:dyDescent="0.35"/>
    <row r="419" s="22" customFormat="1" x14ac:dyDescent="0.35"/>
    <row r="420" s="22" customFormat="1" x14ac:dyDescent="0.35"/>
    <row r="421" s="22" customFormat="1" x14ac:dyDescent="0.35"/>
    <row r="422" s="22" customFormat="1" x14ac:dyDescent="0.35"/>
    <row r="423" s="22" customFormat="1" x14ac:dyDescent="0.35"/>
    <row r="424" s="22" customFormat="1" x14ac:dyDescent="0.35"/>
    <row r="425" s="22" customFormat="1" x14ac:dyDescent="0.35"/>
    <row r="426" s="22" customFormat="1" x14ac:dyDescent="0.35"/>
    <row r="427" s="22" customFormat="1" x14ac:dyDescent="0.35"/>
    <row r="428" s="22" customFormat="1" x14ac:dyDescent="0.35"/>
    <row r="429" s="22" customFormat="1" x14ac:dyDescent="0.35"/>
    <row r="430" s="22" customFormat="1" x14ac:dyDescent="0.35"/>
    <row r="431" s="22" customFormat="1" x14ac:dyDescent="0.35"/>
    <row r="432" s="22" customFormat="1" x14ac:dyDescent="0.35"/>
    <row r="433" s="22" customFormat="1" x14ac:dyDescent="0.35"/>
    <row r="434" s="22" customFormat="1" x14ac:dyDescent="0.35"/>
    <row r="435" s="22" customFormat="1" x14ac:dyDescent="0.35"/>
    <row r="436" s="22" customFormat="1" x14ac:dyDescent="0.35"/>
    <row r="437" s="22" customFormat="1" x14ac:dyDescent="0.35"/>
    <row r="438" s="22" customFormat="1" x14ac:dyDescent="0.35"/>
    <row r="439" s="22" customFormat="1" x14ac:dyDescent="0.35"/>
    <row r="440" s="22" customFormat="1" x14ac:dyDescent="0.35"/>
    <row r="441" s="22" customFormat="1" x14ac:dyDescent="0.35"/>
    <row r="442" s="22" customFormat="1" x14ac:dyDescent="0.35"/>
    <row r="443" s="22" customFormat="1" x14ac:dyDescent="0.35"/>
    <row r="444" s="22" customFormat="1" x14ac:dyDescent="0.35"/>
    <row r="445" s="22" customFormat="1" x14ac:dyDescent="0.35"/>
    <row r="446" s="22" customFormat="1" x14ac:dyDescent="0.35"/>
    <row r="447" s="22" customFormat="1" x14ac:dyDescent="0.35"/>
    <row r="448" s="22" customFormat="1" x14ac:dyDescent="0.35"/>
    <row r="449" s="22" customFormat="1" x14ac:dyDescent="0.35"/>
    <row r="450" s="22" customFormat="1" x14ac:dyDescent="0.35"/>
    <row r="451" s="22" customFormat="1" x14ac:dyDescent="0.35"/>
    <row r="452" s="22" customFormat="1" x14ac:dyDescent="0.35"/>
    <row r="453" s="22" customFormat="1" x14ac:dyDescent="0.35"/>
    <row r="454" s="22" customFormat="1" x14ac:dyDescent="0.35"/>
    <row r="455" s="22" customFormat="1" x14ac:dyDescent="0.35"/>
    <row r="456" s="22" customFormat="1" x14ac:dyDescent="0.35"/>
    <row r="457" s="22" customFormat="1" x14ac:dyDescent="0.35"/>
    <row r="458" s="22" customFormat="1" x14ac:dyDescent="0.35"/>
    <row r="459" s="22" customFormat="1" x14ac:dyDescent="0.35"/>
    <row r="460" s="22" customFormat="1" x14ac:dyDescent="0.35"/>
    <row r="461" s="22" customFormat="1" x14ac:dyDescent="0.35"/>
    <row r="462" s="22" customFormat="1" x14ac:dyDescent="0.35"/>
    <row r="463" s="22" customFormat="1" x14ac:dyDescent="0.35"/>
    <row r="464" s="22" customFormat="1" x14ac:dyDescent="0.35"/>
    <row r="465" s="22" customFormat="1" x14ac:dyDescent="0.35"/>
    <row r="466" s="22" customFormat="1" x14ac:dyDescent="0.35"/>
    <row r="467" s="22" customFormat="1" x14ac:dyDescent="0.35"/>
    <row r="468" s="22" customFormat="1" x14ac:dyDescent="0.35"/>
    <row r="469" s="22" customFormat="1" x14ac:dyDescent="0.35"/>
    <row r="470" s="22" customFormat="1" x14ac:dyDescent="0.35"/>
    <row r="471" s="22" customFormat="1" x14ac:dyDescent="0.35"/>
    <row r="472" s="22" customFormat="1" x14ac:dyDescent="0.35"/>
    <row r="473" s="22" customFormat="1" x14ac:dyDescent="0.35"/>
    <row r="474" s="22" customFormat="1" x14ac:dyDescent="0.35"/>
    <row r="475" s="22" customFormat="1" x14ac:dyDescent="0.35"/>
    <row r="476" s="22" customFormat="1" x14ac:dyDescent="0.35"/>
    <row r="477" s="22" customFormat="1" x14ac:dyDescent="0.35"/>
    <row r="478" s="22" customFormat="1" x14ac:dyDescent="0.35"/>
    <row r="479" s="22" customFormat="1" x14ac:dyDescent="0.35"/>
    <row r="480" s="22" customFormat="1" x14ac:dyDescent="0.35"/>
    <row r="481" s="22" customFormat="1" x14ac:dyDescent="0.35"/>
    <row r="482" s="22" customFormat="1" x14ac:dyDescent="0.35"/>
    <row r="483" s="22" customFormat="1" x14ac:dyDescent="0.35"/>
    <row r="484" s="22" customFormat="1" x14ac:dyDescent="0.35"/>
    <row r="485" s="22" customFormat="1" x14ac:dyDescent="0.35"/>
    <row r="486" s="22" customFormat="1" x14ac:dyDescent="0.35"/>
    <row r="487" s="22" customFormat="1" x14ac:dyDescent="0.35"/>
    <row r="488" s="22" customFormat="1" x14ac:dyDescent="0.35"/>
    <row r="489" s="22" customFormat="1" x14ac:dyDescent="0.35"/>
    <row r="490" s="22" customFormat="1" x14ac:dyDescent="0.35"/>
    <row r="491" s="22" customFormat="1" x14ac:dyDescent="0.35"/>
    <row r="492" s="22" customFormat="1" x14ac:dyDescent="0.35"/>
    <row r="493" s="22" customFormat="1" x14ac:dyDescent="0.35"/>
    <row r="494" s="22" customFormat="1" x14ac:dyDescent="0.35"/>
    <row r="495" s="22" customFormat="1" x14ac:dyDescent="0.35"/>
    <row r="496" s="22" customFormat="1" x14ac:dyDescent="0.35"/>
    <row r="497" s="22" customFormat="1" x14ac:dyDescent="0.35"/>
    <row r="498" s="22" customFormat="1" x14ac:dyDescent="0.35"/>
    <row r="499" s="22" customFormat="1" x14ac:dyDescent="0.35"/>
    <row r="500" s="22" customFormat="1" x14ac:dyDescent="0.35"/>
    <row r="501" s="22" customFormat="1" x14ac:dyDescent="0.35"/>
    <row r="502" s="22" customFormat="1" x14ac:dyDescent="0.35"/>
    <row r="503" s="22" customFormat="1" x14ac:dyDescent="0.35"/>
    <row r="504" s="22" customFormat="1" x14ac:dyDescent="0.35"/>
    <row r="505" s="22" customFormat="1" x14ac:dyDescent="0.35"/>
    <row r="506" s="22" customFormat="1" x14ac:dyDescent="0.35"/>
    <row r="507" s="22" customFormat="1" x14ac:dyDescent="0.35"/>
    <row r="508" s="22" customFormat="1" x14ac:dyDescent="0.35"/>
    <row r="509" s="22" customFormat="1" x14ac:dyDescent="0.35"/>
    <row r="510" s="22" customFormat="1" x14ac:dyDescent="0.35"/>
    <row r="511" s="22" customFormat="1" x14ac:dyDescent="0.35"/>
    <row r="512" s="22" customFormat="1" x14ac:dyDescent="0.35"/>
    <row r="513" s="22" customFormat="1" x14ac:dyDescent="0.35"/>
    <row r="514" s="22" customFormat="1" x14ac:dyDescent="0.35"/>
    <row r="515" s="22" customFormat="1" x14ac:dyDescent="0.35"/>
    <row r="516" s="22" customFormat="1" x14ac:dyDescent="0.35"/>
    <row r="517" s="22" customFormat="1" x14ac:dyDescent="0.35"/>
    <row r="518" s="22" customFormat="1" x14ac:dyDescent="0.35"/>
    <row r="519" s="22" customFormat="1" x14ac:dyDescent="0.35"/>
    <row r="520" s="22" customFormat="1" x14ac:dyDescent="0.35"/>
    <row r="521" s="22" customFormat="1" x14ac:dyDescent="0.35"/>
    <row r="522" s="22" customFormat="1" x14ac:dyDescent="0.35"/>
    <row r="523" s="22" customFormat="1" x14ac:dyDescent="0.35"/>
    <row r="524" s="22" customFormat="1" x14ac:dyDescent="0.35"/>
    <row r="525" s="22" customFormat="1" x14ac:dyDescent="0.35"/>
    <row r="526" s="22" customFormat="1" x14ac:dyDescent="0.35"/>
    <row r="527" s="22" customFormat="1" x14ac:dyDescent="0.35"/>
    <row r="528" s="22" customFormat="1" x14ac:dyDescent="0.35"/>
    <row r="529" s="22" customFormat="1" x14ac:dyDescent="0.35"/>
    <row r="530" s="22" customFormat="1" x14ac:dyDescent="0.35"/>
    <row r="531" s="22" customFormat="1" x14ac:dyDescent="0.35"/>
    <row r="532" s="22" customFormat="1" x14ac:dyDescent="0.35"/>
    <row r="533" s="22" customFormat="1" x14ac:dyDescent="0.35"/>
    <row r="534" s="22" customFormat="1" x14ac:dyDescent="0.35"/>
    <row r="535" s="22" customFormat="1" x14ac:dyDescent="0.35"/>
    <row r="536" s="22" customFormat="1" x14ac:dyDescent="0.35"/>
    <row r="537" s="22" customFormat="1" x14ac:dyDescent="0.35"/>
    <row r="538" s="22" customFormat="1" x14ac:dyDescent="0.35"/>
    <row r="539" s="22" customFormat="1" x14ac:dyDescent="0.35"/>
    <row r="540" s="22" customFormat="1" x14ac:dyDescent="0.35"/>
    <row r="541" s="22" customFormat="1" x14ac:dyDescent="0.35"/>
    <row r="542" s="22" customFormat="1" x14ac:dyDescent="0.35"/>
    <row r="543" s="22" customFormat="1" x14ac:dyDescent="0.35"/>
    <row r="544" s="22" customFormat="1" x14ac:dyDescent="0.35"/>
    <row r="545" s="22" customFormat="1" x14ac:dyDescent="0.35"/>
    <row r="546" s="22" customFormat="1" x14ac:dyDescent="0.35"/>
    <row r="547" s="22" customFormat="1" x14ac:dyDescent="0.35"/>
    <row r="548" s="22" customFormat="1" x14ac:dyDescent="0.35"/>
    <row r="549" s="22" customFormat="1" x14ac:dyDescent="0.35"/>
    <row r="550" s="22" customFormat="1" x14ac:dyDescent="0.35"/>
    <row r="551" s="22" customFormat="1" x14ac:dyDescent="0.35"/>
    <row r="552" s="22" customFormat="1" x14ac:dyDescent="0.35"/>
    <row r="553" s="22" customFormat="1" x14ac:dyDescent="0.35"/>
    <row r="554" s="22" customFormat="1" x14ac:dyDescent="0.35"/>
    <row r="555" s="22" customFormat="1" x14ac:dyDescent="0.35"/>
    <row r="556" s="22" customFormat="1" x14ac:dyDescent="0.35"/>
    <row r="557" s="22" customFormat="1" x14ac:dyDescent="0.35"/>
    <row r="558" s="22" customFormat="1" x14ac:dyDescent="0.35"/>
    <row r="559" s="22" customFormat="1" x14ac:dyDescent="0.35"/>
    <row r="560" s="22" customFormat="1" x14ac:dyDescent="0.35"/>
    <row r="561" s="22" customFormat="1" x14ac:dyDescent="0.35"/>
    <row r="562" s="22" customFormat="1" x14ac:dyDescent="0.35"/>
    <row r="563" s="22" customFormat="1" x14ac:dyDescent="0.35"/>
    <row r="564" s="22" customFormat="1" x14ac:dyDescent="0.35"/>
    <row r="565" s="22" customFormat="1" x14ac:dyDescent="0.35"/>
    <row r="566" s="22" customFormat="1" x14ac:dyDescent="0.35"/>
    <row r="567" s="22" customFormat="1" x14ac:dyDescent="0.35"/>
    <row r="568" s="22" customFormat="1" x14ac:dyDescent="0.35"/>
    <row r="569" s="22" customFormat="1" x14ac:dyDescent="0.35"/>
    <row r="570" s="22" customFormat="1" x14ac:dyDescent="0.35"/>
    <row r="571" s="22" customFormat="1" x14ac:dyDescent="0.35"/>
    <row r="572" s="22" customFormat="1" x14ac:dyDescent="0.35"/>
    <row r="573" s="22" customFormat="1" x14ac:dyDescent="0.35"/>
    <row r="574" s="22" customFormat="1" x14ac:dyDescent="0.35"/>
    <row r="575" s="22" customFormat="1" x14ac:dyDescent="0.35"/>
    <row r="576" s="22" customFormat="1" x14ac:dyDescent="0.35"/>
    <row r="577" s="22" customFormat="1" x14ac:dyDescent="0.35"/>
    <row r="578" s="22" customFormat="1" x14ac:dyDescent="0.35"/>
    <row r="579" s="22" customFormat="1" x14ac:dyDescent="0.35"/>
    <row r="580" s="22" customFormat="1" x14ac:dyDescent="0.35"/>
    <row r="581" s="22" customFormat="1" x14ac:dyDescent="0.35"/>
    <row r="582" s="22" customFormat="1" x14ac:dyDescent="0.35"/>
    <row r="583" s="22" customFormat="1" x14ac:dyDescent="0.35"/>
    <row r="584" s="22" customFormat="1" x14ac:dyDescent="0.35"/>
    <row r="585" s="22" customFormat="1" x14ac:dyDescent="0.35"/>
    <row r="586" s="22" customFormat="1" x14ac:dyDescent="0.35"/>
    <row r="587" s="22" customFormat="1" x14ac:dyDescent="0.35"/>
    <row r="588" s="22" customFormat="1" x14ac:dyDescent="0.35"/>
    <row r="589" s="22" customFormat="1" x14ac:dyDescent="0.35"/>
    <row r="590" s="22" customFormat="1" x14ac:dyDescent="0.35"/>
    <row r="591" s="22" customFormat="1" x14ac:dyDescent="0.35"/>
    <row r="592" s="22" customFormat="1" x14ac:dyDescent="0.35"/>
    <row r="593" s="22" customFormat="1" x14ac:dyDescent="0.35"/>
    <row r="594" s="22" customFormat="1" x14ac:dyDescent="0.35"/>
    <row r="595" s="22" customFormat="1" x14ac:dyDescent="0.35"/>
    <row r="596" s="22" customFormat="1" x14ac:dyDescent="0.35"/>
    <row r="597" s="22" customFormat="1" x14ac:dyDescent="0.35"/>
    <row r="598" s="22" customFormat="1" x14ac:dyDescent="0.35"/>
    <row r="599" s="22" customFormat="1" x14ac:dyDescent="0.35"/>
    <row r="600" s="22" customFormat="1" x14ac:dyDescent="0.35"/>
    <row r="601" s="22" customFormat="1" x14ac:dyDescent="0.35"/>
    <row r="602" s="22" customFormat="1" x14ac:dyDescent="0.35"/>
    <row r="603" s="22" customFormat="1" x14ac:dyDescent="0.35"/>
    <row r="604" s="22" customFormat="1" x14ac:dyDescent="0.35"/>
    <row r="605" s="22" customFormat="1" x14ac:dyDescent="0.35"/>
    <row r="606" s="22" customFormat="1" x14ac:dyDescent="0.35"/>
    <row r="607" s="22" customFormat="1" x14ac:dyDescent="0.35"/>
    <row r="608" s="22" customFormat="1" x14ac:dyDescent="0.35"/>
    <row r="609" s="22" customFormat="1" x14ac:dyDescent="0.35"/>
    <row r="610" s="22" customFormat="1" x14ac:dyDescent="0.35"/>
    <row r="611" s="22" customFormat="1" x14ac:dyDescent="0.35"/>
    <row r="612" s="22" customFormat="1" x14ac:dyDescent="0.35"/>
    <row r="613" s="22" customFormat="1" x14ac:dyDescent="0.35"/>
    <row r="614" s="22" customFormat="1" x14ac:dyDescent="0.35"/>
    <row r="615" s="22" customFormat="1" x14ac:dyDescent="0.35"/>
    <row r="616" s="22" customFormat="1" x14ac:dyDescent="0.35"/>
    <row r="617" s="22" customFormat="1" x14ac:dyDescent="0.35"/>
    <row r="618" s="22" customFormat="1" x14ac:dyDescent="0.35"/>
    <row r="619" s="22" customFormat="1" x14ac:dyDescent="0.35"/>
    <row r="620" s="22" customFormat="1" x14ac:dyDescent="0.35"/>
    <row r="621" s="22" customFormat="1" x14ac:dyDescent="0.35"/>
    <row r="622" s="22" customFormat="1" x14ac:dyDescent="0.35"/>
    <row r="623" s="22" customFormat="1" x14ac:dyDescent="0.35"/>
    <row r="624" s="22" customFormat="1" x14ac:dyDescent="0.35"/>
    <row r="625" s="22" customFormat="1" x14ac:dyDescent="0.35"/>
    <row r="626" s="22" customFormat="1" x14ac:dyDescent="0.35"/>
    <row r="627" s="22" customFormat="1" x14ac:dyDescent="0.35"/>
    <row r="628" s="22" customFormat="1" x14ac:dyDescent="0.35"/>
    <row r="629" s="22" customFormat="1" x14ac:dyDescent="0.35"/>
    <row r="630" s="22" customFormat="1" x14ac:dyDescent="0.35"/>
    <row r="631" s="22" customFormat="1" x14ac:dyDescent="0.35"/>
    <row r="632" s="22" customFormat="1" x14ac:dyDescent="0.35"/>
    <row r="633" s="22" customFormat="1" x14ac:dyDescent="0.35"/>
    <row r="634" s="22" customFormat="1" x14ac:dyDescent="0.35"/>
    <row r="635" s="22" customFormat="1" x14ac:dyDescent="0.35"/>
    <row r="636" s="22" customFormat="1" x14ac:dyDescent="0.35"/>
    <row r="637" s="22" customFormat="1" x14ac:dyDescent="0.35"/>
    <row r="638" s="22" customFormat="1" x14ac:dyDescent="0.35"/>
    <row r="639" s="22" customFormat="1" x14ac:dyDescent="0.35"/>
    <row r="640" s="22" customFormat="1" x14ac:dyDescent="0.35"/>
    <row r="641" s="22" customFormat="1" x14ac:dyDescent="0.35"/>
    <row r="642" s="22" customFormat="1" x14ac:dyDescent="0.35"/>
    <row r="643" s="22" customFormat="1" x14ac:dyDescent="0.35"/>
    <row r="644" s="22" customFormat="1" x14ac:dyDescent="0.35"/>
    <row r="645" s="22" customFormat="1" x14ac:dyDescent="0.35"/>
    <row r="646" s="22" customFormat="1" x14ac:dyDescent="0.35"/>
    <row r="647" s="22" customFormat="1" x14ac:dyDescent="0.35"/>
    <row r="648" s="22" customFormat="1" x14ac:dyDescent="0.35"/>
    <row r="649" s="22" customFormat="1" x14ac:dyDescent="0.35"/>
    <row r="650" s="22" customFormat="1" x14ac:dyDescent="0.35"/>
    <row r="651" s="22" customFormat="1" x14ac:dyDescent="0.35"/>
    <row r="652" s="22" customFormat="1" x14ac:dyDescent="0.35"/>
    <row r="653" s="22" customFormat="1" x14ac:dyDescent="0.35"/>
    <row r="654" s="22" customFormat="1" x14ac:dyDescent="0.35"/>
    <row r="655" s="22" customFormat="1" x14ac:dyDescent="0.35"/>
    <row r="656" s="22" customFormat="1" x14ac:dyDescent="0.35"/>
    <row r="657" s="22" customFormat="1" x14ac:dyDescent="0.35"/>
    <row r="658" s="22" customFormat="1" x14ac:dyDescent="0.35"/>
    <row r="659" s="22" customFormat="1" x14ac:dyDescent="0.35"/>
    <row r="660" s="22" customFormat="1" x14ac:dyDescent="0.35"/>
    <row r="661" s="22" customFormat="1" x14ac:dyDescent="0.35"/>
    <row r="662" s="22" customFormat="1" x14ac:dyDescent="0.35"/>
    <row r="663" s="22" customFormat="1" x14ac:dyDescent="0.35"/>
    <row r="664" s="22" customFormat="1" x14ac:dyDescent="0.35"/>
    <row r="665" s="22" customFormat="1" x14ac:dyDescent="0.35"/>
    <row r="666" s="22" customFormat="1" x14ac:dyDescent="0.35"/>
    <row r="667" s="22" customFormat="1" x14ac:dyDescent="0.35"/>
    <row r="668" s="22" customFormat="1" x14ac:dyDescent="0.35"/>
    <row r="669" s="22" customFormat="1" x14ac:dyDescent="0.35"/>
    <row r="670" s="22" customFormat="1" x14ac:dyDescent="0.35"/>
    <row r="671" s="22" customFormat="1" x14ac:dyDescent="0.35"/>
    <row r="672" s="22" customFormat="1" x14ac:dyDescent="0.35"/>
    <row r="673" s="22" customFormat="1" x14ac:dyDescent="0.35"/>
    <row r="674" s="22" customFormat="1" x14ac:dyDescent="0.35"/>
    <row r="675" s="22" customFormat="1" x14ac:dyDescent="0.35"/>
    <row r="676" s="22" customFormat="1" x14ac:dyDescent="0.35"/>
    <row r="677" s="22" customFormat="1" x14ac:dyDescent="0.35"/>
    <row r="678" s="22" customFormat="1" x14ac:dyDescent="0.35"/>
    <row r="679" s="22" customFormat="1" x14ac:dyDescent="0.35"/>
    <row r="680" s="22" customFormat="1" x14ac:dyDescent="0.35"/>
    <row r="681" s="22" customFormat="1" x14ac:dyDescent="0.35"/>
    <row r="682" s="22" customFormat="1" x14ac:dyDescent="0.35"/>
    <row r="683" s="22" customFormat="1" x14ac:dyDescent="0.35"/>
    <row r="684" s="22" customFormat="1" x14ac:dyDescent="0.35"/>
    <row r="685" s="22" customFormat="1" x14ac:dyDescent="0.35"/>
    <row r="686" s="22" customFormat="1" x14ac:dyDescent="0.35"/>
    <row r="687" s="22" customFormat="1" x14ac:dyDescent="0.35"/>
    <row r="688" s="22" customFormat="1" x14ac:dyDescent="0.35"/>
    <row r="689" s="22" customFormat="1" x14ac:dyDescent="0.35"/>
    <row r="690" s="22" customFormat="1" x14ac:dyDescent="0.35"/>
    <row r="691" s="22" customFormat="1" x14ac:dyDescent="0.35"/>
    <row r="692" s="22" customFormat="1" x14ac:dyDescent="0.35"/>
    <row r="693" s="22" customFormat="1" x14ac:dyDescent="0.35"/>
    <row r="694" s="22" customFormat="1" x14ac:dyDescent="0.35"/>
    <row r="695" s="22" customFormat="1" x14ac:dyDescent="0.35"/>
    <row r="696" s="22" customFormat="1" x14ac:dyDescent="0.35"/>
    <row r="697" s="22" customFormat="1" x14ac:dyDescent="0.35"/>
    <row r="698" s="22" customFormat="1" x14ac:dyDescent="0.35"/>
    <row r="699" s="22" customFormat="1" x14ac:dyDescent="0.35"/>
    <row r="700" s="22" customFormat="1" x14ac:dyDescent="0.35"/>
    <row r="701" s="22" customFormat="1" x14ac:dyDescent="0.35"/>
    <row r="702" s="22" customFormat="1" x14ac:dyDescent="0.35"/>
    <row r="703" s="22" customFormat="1" x14ac:dyDescent="0.35"/>
    <row r="704" s="22" customFormat="1" x14ac:dyDescent="0.35"/>
    <row r="705" s="22" customFormat="1" x14ac:dyDescent="0.35"/>
    <row r="706" s="22" customFormat="1" x14ac:dyDescent="0.35"/>
    <row r="707" s="22" customFormat="1" x14ac:dyDescent="0.35"/>
    <row r="708" s="22" customFormat="1" x14ac:dyDescent="0.35"/>
    <row r="709" s="22" customFormat="1" x14ac:dyDescent="0.35"/>
    <row r="710" s="22" customFormat="1" x14ac:dyDescent="0.35"/>
    <row r="711" s="22" customFormat="1" x14ac:dyDescent="0.35"/>
    <row r="712" s="22" customFormat="1" x14ac:dyDescent="0.35"/>
    <row r="713" s="22" customFormat="1" x14ac:dyDescent="0.35"/>
    <row r="714" s="22" customFormat="1" x14ac:dyDescent="0.35"/>
    <row r="715" s="22" customFormat="1" x14ac:dyDescent="0.35"/>
    <row r="716" s="22" customFormat="1" x14ac:dyDescent="0.35"/>
    <row r="717" s="22" customFormat="1" x14ac:dyDescent="0.35"/>
    <row r="718" s="22" customFormat="1" x14ac:dyDescent="0.35"/>
    <row r="719" s="22" customFormat="1" x14ac:dyDescent="0.35"/>
    <row r="720" s="22" customFormat="1" x14ac:dyDescent="0.35"/>
    <row r="721" s="22" customFormat="1" x14ac:dyDescent="0.35"/>
    <row r="722" s="22" customFormat="1" x14ac:dyDescent="0.35"/>
    <row r="723" s="22" customFormat="1" x14ac:dyDescent="0.35"/>
    <row r="724" s="22" customFormat="1" x14ac:dyDescent="0.35"/>
    <row r="725" s="22" customFormat="1" x14ac:dyDescent="0.35"/>
    <row r="726" s="22" customFormat="1" x14ac:dyDescent="0.35"/>
    <row r="727" s="22" customFormat="1" x14ac:dyDescent="0.35"/>
    <row r="728" s="22" customFormat="1" x14ac:dyDescent="0.35"/>
    <row r="729" s="22" customFormat="1" x14ac:dyDescent="0.35"/>
    <row r="730" s="22" customFormat="1" x14ac:dyDescent="0.35"/>
    <row r="731" s="22" customFormat="1" x14ac:dyDescent="0.35"/>
    <row r="732" s="22" customFormat="1" x14ac:dyDescent="0.35"/>
    <row r="733" s="22" customFormat="1" x14ac:dyDescent="0.35"/>
    <row r="734" s="22" customFormat="1" x14ac:dyDescent="0.35"/>
    <row r="735" s="22" customFormat="1" x14ac:dyDescent="0.35"/>
    <row r="736" s="22" customFormat="1" x14ac:dyDescent="0.35"/>
    <row r="737" s="22" customFormat="1" x14ac:dyDescent="0.35"/>
    <row r="738" s="22" customFormat="1" x14ac:dyDescent="0.35"/>
    <row r="739" s="22" customFormat="1" x14ac:dyDescent="0.35"/>
    <row r="740" s="22" customFormat="1" x14ac:dyDescent="0.35"/>
    <row r="741" s="22" customFormat="1" x14ac:dyDescent="0.35"/>
    <row r="742" s="22" customFormat="1" x14ac:dyDescent="0.35"/>
    <row r="743" s="22" customFormat="1" x14ac:dyDescent="0.35"/>
    <row r="744" s="22" customFormat="1" x14ac:dyDescent="0.35"/>
    <row r="745" s="22" customFormat="1" x14ac:dyDescent="0.35"/>
    <row r="746" s="22" customFormat="1" x14ac:dyDescent="0.35"/>
    <row r="747" s="22" customFormat="1" x14ac:dyDescent="0.35"/>
    <row r="748" s="22" customFormat="1" x14ac:dyDescent="0.35"/>
    <row r="749" s="22" customFormat="1" x14ac:dyDescent="0.35"/>
    <row r="750" s="22" customFormat="1" x14ac:dyDescent="0.35"/>
    <row r="751" s="22" customFormat="1" x14ac:dyDescent="0.35"/>
    <row r="752" s="22" customFormat="1" x14ac:dyDescent="0.35"/>
    <row r="753" s="22" customFormat="1" x14ac:dyDescent="0.35"/>
    <row r="754" s="22" customFormat="1" x14ac:dyDescent="0.35"/>
    <row r="755" s="22" customFormat="1" x14ac:dyDescent="0.35"/>
    <row r="756" s="22" customFormat="1" x14ac:dyDescent="0.35"/>
    <row r="757" s="22" customFormat="1" x14ac:dyDescent="0.35"/>
    <row r="758" s="22" customFormat="1" x14ac:dyDescent="0.35"/>
    <row r="759" s="22" customFormat="1" x14ac:dyDescent="0.35"/>
    <row r="760" s="22" customFormat="1" x14ac:dyDescent="0.35"/>
    <row r="761" s="22" customFormat="1" x14ac:dyDescent="0.35"/>
    <row r="762" s="22" customFormat="1" x14ac:dyDescent="0.35"/>
    <row r="763" s="22" customFormat="1" x14ac:dyDescent="0.35"/>
    <row r="764" s="22" customFormat="1" x14ac:dyDescent="0.35"/>
    <row r="765" s="22" customFormat="1" x14ac:dyDescent="0.35"/>
    <row r="766" s="22" customFormat="1" x14ac:dyDescent="0.35"/>
    <row r="767" s="22" customFormat="1" x14ac:dyDescent="0.35"/>
    <row r="768" s="22" customFormat="1" x14ac:dyDescent="0.35"/>
    <row r="769" s="22" customFormat="1" x14ac:dyDescent="0.35"/>
    <row r="770" s="22" customFormat="1" x14ac:dyDescent="0.35"/>
    <row r="771" s="22" customFormat="1" x14ac:dyDescent="0.35"/>
    <row r="772" s="22" customFormat="1" x14ac:dyDescent="0.35"/>
    <row r="773" s="22" customFormat="1" x14ac:dyDescent="0.35"/>
    <row r="774" s="22" customFormat="1" x14ac:dyDescent="0.35"/>
    <row r="775" s="22" customFormat="1" x14ac:dyDescent="0.35"/>
    <row r="776" s="22" customFormat="1" x14ac:dyDescent="0.35"/>
    <row r="777" s="22" customFormat="1" x14ac:dyDescent="0.35"/>
    <row r="778" s="22" customFormat="1" x14ac:dyDescent="0.35"/>
    <row r="779" s="22" customFormat="1" x14ac:dyDescent="0.35"/>
    <row r="780" s="22" customFormat="1" x14ac:dyDescent="0.35"/>
    <row r="781" s="22" customFormat="1" x14ac:dyDescent="0.35"/>
    <row r="782" s="22" customFormat="1" x14ac:dyDescent="0.35"/>
    <row r="783" s="22" customFormat="1" x14ac:dyDescent="0.35"/>
    <row r="784" s="22" customFormat="1" x14ac:dyDescent="0.35"/>
    <row r="785" s="22" customFormat="1" x14ac:dyDescent="0.35"/>
    <row r="786" s="22" customFormat="1" x14ac:dyDescent="0.35"/>
    <row r="787" s="22" customFormat="1" x14ac:dyDescent="0.35"/>
    <row r="788" s="22" customFormat="1" x14ac:dyDescent="0.35"/>
    <row r="789" s="22" customFormat="1" x14ac:dyDescent="0.35"/>
    <row r="790" s="22" customFormat="1" x14ac:dyDescent="0.35"/>
    <row r="791" s="22" customFormat="1" x14ac:dyDescent="0.35"/>
    <row r="792" s="22" customFormat="1" x14ac:dyDescent="0.35"/>
    <row r="793" s="22" customFormat="1" x14ac:dyDescent="0.35"/>
    <row r="794" s="22" customFormat="1" x14ac:dyDescent="0.35"/>
    <row r="795" s="22" customFormat="1" x14ac:dyDescent="0.35"/>
    <row r="796" s="22" customFormat="1" x14ac:dyDescent="0.35"/>
    <row r="797" s="22" customFormat="1" x14ac:dyDescent="0.35"/>
    <row r="798" s="22" customFormat="1" x14ac:dyDescent="0.35"/>
    <row r="799" s="22" customFormat="1" x14ac:dyDescent="0.35"/>
    <row r="800" s="22" customFormat="1" x14ac:dyDescent="0.35"/>
    <row r="801" s="22" customFormat="1" x14ac:dyDescent="0.35"/>
    <row r="802" s="22" customFormat="1" x14ac:dyDescent="0.35"/>
    <row r="803" s="22" customFormat="1" x14ac:dyDescent="0.35"/>
    <row r="804" s="22" customFormat="1" x14ac:dyDescent="0.35"/>
    <row r="805" s="22" customFormat="1" x14ac:dyDescent="0.35"/>
    <row r="806" s="22" customFormat="1" x14ac:dyDescent="0.35"/>
    <row r="807" s="22" customFormat="1" x14ac:dyDescent="0.35"/>
    <row r="808" s="22" customFormat="1" x14ac:dyDescent="0.35"/>
    <row r="809" s="22" customFormat="1" x14ac:dyDescent="0.35"/>
    <row r="810" s="22" customFormat="1" x14ac:dyDescent="0.35"/>
    <row r="811" s="22" customFormat="1" x14ac:dyDescent="0.35"/>
    <row r="812" s="22" customFormat="1" x14ac:dyDescent="0.35"/>
    <row r="813" s="22" customFormat="1" x14ac:dyDescent="0.35"/>
    <row r="814" s="22" customFormat="1" x14ac:dyDescent="0.35"/>
    <row r="815" s="22" customFormat="1" x14ac:dyDescent="0.35"/>
    <row r="816" s="22" customFormat="1" x14ac:dyDescent="0.35"/>
    <row r="817" s="22" customFormat="1" x14ac:dyDescent="0.35"/>
    <row r="818" s="22" customFormat="1" x14ac:dyDescent="0.35"/>
    <row r="819" s="22" customFormat="1" x14ac:dyDescent="0.35"/>
    <row r="820" s="22" customFormat="1" x14ac:dyDescent="0.35"/>
    <row r="821" s="22" customFormat="1" x14ac:dyDescent="0.35"/>
    <row r="822" s="22" customFormat="1" x14ac:dyDescent="0.35"/>
    <row r="823" s="22" customFormat="1" x14ac:dyDescent="0.35"/>
    <row r="824" s="22" customFormat="1" x14ac:dyDescent="0.35"/>
    <row r="825" s="22" customFormat="1" x14ac:dyDescent="0.35"/>
    <row r="826" s="22" customFormat="1" x14ac:dyDescent="0.35"/>
    <row r="827" s="22" customFormat="1" x14ac:dyDescent="0.35"/>
    <row r="828" s="22" customFormat="1" x14ac:dyDescent="0.35"/>
    <row r="829" s="22" customFormat="1" x14ac:dyDescent="0.35"/>
    <row r="830" s="22" customFormat="1" x14ac:dyDescent="0.35"/>
    <row r="831" s="22" customFormat="1" x14ac:dyDescent="0.35"/>
    <row r="832" s="22" customFormat="1" x14ac:dyDescent="0.35"/>
    <row r="833" s="22" customFormat="1" x14ac:dyDescent="0.35"/>
    <row r="834" s="22" customFormat="1" x14ac:dyDescent="0.35"/>
    <row r="835" s="22" customFormat="1" x14ac:dyDescent="0.35"/>
    <row r="836" s="22" customFormat="1" x14ac:dyDescent="0.35"/>
    <row r="837" s="22" customFormat="1" x14ac:dyDescent="0.35"/>
    <row r="838" s="22" customFormat="1" x14ac:dyDescent="0.35"/>
    <row r="839" s="22" customFormat="1" x14ac:dyDescent="0.35"/>
    <row r="840" s="22" customFormat="1" x14ac:dyDescent="0.35"/>
    <row r="841" s="22" customFormat="1" x14ac:dyDescent="0.35"/>
    <row r="842" s="22" customFormat="1" x14ac:dyDescent="0.35"/>
    <row r="843" s="22" customFormat="1" x14ac:dyDescent="0.35"/>
    <row r="844" s="22" customFormat="1" x14ac:dyDescent="0.35"/>
    <row r="845" s="22" customFormat="1" x14ac:dyDescent="0.35"/>
    <row r="846" s="22" customFormat="1" x14ac:dyDescent="0.35"/>
    <row r="847" s="22" customFormat="1" x14ac:dyDescent="0.35"/>
    <row r="848" s="22" customFormat="1" x14ac:dyDescent="0.35"/>
    <row r="849" s="22" customFormat="1" x14ac:dyDescent="0.35"/>
    <row r="850" s="22" customFormat="1" x14ac:dyDescent="0.35"/>
    <row r="851" s="22" customFormat="1" x14ac:dyDescent="0.35"/>
    <row r="852" s="22" customFormat="1" x14ac:dyDescent="0.35"/>
    <row r="853" s="22" customFormat="1" x14ac:dyDescent="0.35"/>
    <row r="854" s="22" customFormat="1" x14ac:dyDescent="0.35"/>
    <row r="855" s="22" customFormat="1" x14ac:dyDescent="0.35"/>
    <row r="856" s="22" customFormat="1" x14ac:dyDescent="0.35"/>
    <row r="857" s="22" customFormat="1" x14ac:dyDescent="0.35"/>
    <row r="858" s="22" customFormat="1" x14ac:dyDescent="0.35"/>
    <row r="859" s="22" customFormat="1" x14ac:dyDescent="0.35"/>
    <row r="860" s="22" customFormat="1" x14ac:dyDescent="0.35"/>
    <row r="861" s="22" customFormat="1" x14ac:dyDescent="0.35"/>
    <row r="862" s="22" customFormat="1" x14ac:dyDescent="0.35"/>
    <row r="863" s="22" customFormat="1" x14ac:dyDescent="0.35"/>
    <row r="864" s="22" customFormat="1" x14ac:dyDescent="0.35"/>
    <row r="865" s="22" customFormat="1" x14ac:dyDescent="0.35"/>
    <row r="866" s="22" customFormat="1" x14ac:dyDescent="0.35"/>
    <row r="867" s="22" customFormat="1" x14ac:dyDescent="0.35"/>
    <row r="868" s="22" customFormat="1" x14ac:dyDescent="0.35"/>
    <row r="869" s="22" customFormat="1" x14ac:dyDescent="0.35"/>
    <row r="870" s="22" customFormat="1" x14ac:dyDescent="0.35"/>
    <row r="871" s="22" customFormat="1" x14ac:dyDescent="0.35"/>
    <row r="872" s="22" customFormat="1" x14ac:dyDescent="0.35"/>
    <row r="873" s="22" customFormat="1" x14ac:dyDescent="0.35"/>
    <row r="874" s="22" customFormat="1" x14ac:dyDescent="0.35"/>
    <row r="875" s="22" customFormat="1" x14ac:dyDescent="0.35"/>
    <row r="876" s="22" customFormat="1" x14ac:dyDescent="0.35"/>
    <row r="877" s="22" customFormat="1" x14ac:dyDescent="0.35"/>
    <row r="878" s="22" customFormat="1" x14ac:dyDescent="0.35"/>
    <row r="879" s="22" customFormat="1" x14ac:dyDescent="0.35"/>
    <row r="880" s="22" customFormat="1" x14ac:dyDescent="0.35"/>
    <row r="881" s="22" customFormat="1" x14ac:dyDescent="0.35"/>
    <row r="882" s="22" customFormat="1" x14ac:dyDescent="0.35"/>
    <row r="883" s="22" customFormat="1" x14ac:dyDescent="0.35"/>
    <row r="884" s="22" customFormat="1" x14ac:dyDescent="0.35"/>
    <row r="885" s="22" customFormat="1" x14ac:dyDescent="0.35"/>
    <row r="886" s="22" customFormat="1" x14ac:dyDescent="0.35"/>
    <row r="887" s="22" customFormat="1" x14ac:dyDescent="0.35"/>
    <row r="888" s="22" customFormat="1" x14ac:dyDescent="0.35"/>
    <row r="889" s="22" customFormat="1" x14ac:dyDescent="0.35"/>
    <row r="890" s="22" customFormat="1" x14ac:dyDescent="0.35"/>
    <row r="891" s="22" customFormat="1" x14ac:dyDescent="0.35"/>
    <row r="892" s="22" customFormat="1" x14ac:dyDescent="0.35"/>
    <row r="893" s="22" customFormat="1" x14ac:dyDescent="0.35"/>
    <row r="894" s="22" customFormat="1" x14ac:dyDescent="0.35"/>
    <row r="895" s="22" customFormat="1" x14ac:dyDescent="0.35"/>
    <row r="896" s="22" customFormat="1" x14ac:dyDescent="0.35"/>
    <row r="897" s="22" customFormat="1" x14ac:dyDescent="0.35"/>
    <row r="898" s="22" customFormat="1" x14ac:dyDescent="0.35"/>
    <row r="899" s="22" customFormat="1" x14ac:dyDescent="0.35"/>
    <row r="900" s="22" customFormat="1" x14ac:dyDescent="0.35"/>
    <row r="901" s="22" customFormat="1" x14ac:dyDescent="0.35"/>
    <row r="902" s="22" customFormat="1" x14ac:dyDescent="0.35"/>
    <row r="903" s="22" customFormat="1" x14ac:dyDescent="0.35"/>
    <row r="904" s="22" customFormat="1" x14ac:dyDescent="0.35"/>
    <row r="905" s="22" customFormat="1" x14ac:dyDescent="0.35"/>
    <row r="906" s="22" customFormat="1" x14ac:dyDescent="0.35"/>
    <row r="907" s="22" customFormat="1" x14ac:dyDescent="0.35"/>
    <row r="908" s="22" customFormat="1" x14ac:dyDescent="0.35"/>
    <row r="909" s="22" customFormat="1" x14ac:dyDescent="0.35"/>
    <row r="910" s="22" customFormat="1" x14ac:dyDescent="0.35"/>
    <row r="911" s="22" customFormat="1" x14ac:dyDescent="0.35"/>
    <row r="912" s="22" customFormat="1" x14ac:dyDescent="0.35"/>
    <row r="913" s="22" customFormat="1" x14ac:dyDescent="0.35"/>
    <row r="914" s="22" customFormat="1" x14ac:dyDescent="0.35"/>
    <row r="915" s="22" customFormat="1" x14ac:dyDescent="0.35"/>
    <row r="916" s="22" customFormat="1" x14ac:dyDescent="0.35"/>
    <row r="917" s="22" customFormat="1" x14ac:dyDescent="0.35"/>
    <row r="918" s="22" customFormat="1" x14ac:dyDescent="0.35"/>
    <row r="919" s="22" customFormat="1" x14ac:dyDescent="0.35"/>
    <row r="920" s="22" customFormat="1" x14ac:dyDescent="0.35"/>
    <row r="921" s="22" customFormat="1" x14ac:dyDescent="0.35"/>
    <row r="922" s="22" customFormat="1" x14ac:dyDescent="0.35"/>
    <row r="923" s="22" customFormat="1" x14ac:dyDescent="0.35"/>
    <row r="924" s="22" customFormat="1" x14ac:dyDescent="0.35"/>
    <row r="925" s="22" customFormat="1" x14ac:dyDescent="0.35"/>
    <row r="926" s="22" customFormat="1" x14ac:dyDescent="0.35"/>
    <row r="927" s="22" customFormat="1" x14ac:dyDescent="0.35"/>
    <row r="928" s="22" customFormat="1" x14ac:dyDescent="0.35"/>
    <row r="929" s="22" customFormat="1" x14ac:dyDescent="0.35"/>
    <row r="930" s="22" customFormat="1" x14ac:dyDescent="0.35"/>
    <row r="931" s="22" customFormat="1" x14ac:dyDescent="0.35"/>
    <row r="932" s="22" customFormat="1" x14ac:dyDescent="0.35"/>
    <row r="933" s="22" customFormat="1" x14ac:dyDescent="0.35"/>
    <row r="934" s="22" customFormat="1" x14ac:dyDescent="0.35"/>
    <row r="935" s="22" customFormat="1" x14ac:dyDescent="0.35"/>
    <row r="936" s="22" customFormat="1" x14ac:dyDescent="0.35"/>
    <row r="937" s="22" customFormat="1" x14ac:dyDescent="0.35"/>
    <row r="938" s="22" customFormat="1" x14ac:dyDescent="0.35"/>
    <row r="939" s="22" customFormat="1" x14ac:dyDescent="0.35"/>
    <row r="940" s="22" customFormat="1" x14ac:dyDescent="0.35"/>
    <row r="941" s="22" customFormat="1" x14ac:dyDescent="0.35"/>
    <row r="942" s="22" customFormat="1" x14ac:dyDescent="0.35"/>
    <row r="943" s="22" customFormat="1" x14ac:dyDescent="0.35"/>
    <row r="944" s="22" customFormat="1" x14ac:dyDescent="0.35"/>
    <row r="945" s="22" customFormat="1" x14ac:dyDescent="0.35"/>
    <row r="946" s="22" customFormat="1" x14ac:dyDescent="0.35"/>
    <row r="947" s="22" customFormat="1" x14ac:dyDescent="0.35"/>
    <row r="948" s="22" customFormat="1" x14ac:dyDescent="0.35"/>
    <row r="949" s="22" customFormat="1" x14ac:dyDescent="0.35"/>
    <row r="950" s="22" customFormat="1" x14ac:dyDescent="0.35"/>
    <row r="951" s="22" customFormat="1" x14ac:dyDescent="0.35"/>
    <row r="952" s="22" customFormat="1" x14ac:dyDescent="0.35"/>
    <row r="953" s="22" customFormat="1" x14ac:dyDescent="0.35"/>
    <row r="954" s="22" customFormat="1" x14ac:dyDescent="0.35"/>
    <row r="955" s="22" customFormat="1" x14ac:dyDescent="0.35"/>
    <row r="956" s="22" customFormat="1" x14ac:dyDescent="0.35"/>
    <row r="957" s="22" customFormat="1" x14ac:dyDescent="0.35"/>
    <row r="958" s="22" customFormat="1" x14ac:dyDescent="0.35"/>
    <row r="959" s="22" customFormat="1" x14ac:dyDescent="0.35"/>
    <row r="960" s="22" customFormat="1" x14ac:dyDescent="0.35"/>
    <row r="961" s="22" customFormat="1" x14ac:dyDescent="0.35"/>
    <row r="962" s="22" customFormat="1" x14ac:dyDescent="0.35"/>
    <row r="963" s="22" customFormat="1" x14ac:dyDescent="0.35"/>
    <row r="964" s="22" customFormat="1" x14ac:dyDescent="0.35"/>
    <row r="965" s="22" customFormat="1" x14ac:dyDescent="0.35"/>
    <row r="966" s="22" customFormat="1" x14ac:dyDescent="0.35"/>
    <row r="967" s="22" customFormat="1" x14ac:dyDescent="0.35"/>
    <row r="968" s="22" customFormat="1" x14ac:dyDescent="0.35"/>
    <row r="969" s="22" customFormat="1" x14ac:dyDescent="0.35"/>
    <row r="970" s="22" customFormat="1" x14ac:dyDescent="0.35"/>
    <row r="971" s="22" customFormat="1" x14ac:dyDescent="0.35"/>
    <row r="972" s="22" customFormat="1" x14ac:dyDescent="0.35"/>
    <row r="973" s="22" customFormat="1" x14ac:dyDescent="0.35"/>
    <row r="974" s="22" customFormat="1" x14ac:dyDescent="0.35"/>
    <row r="975" s="22" customFormat="1" x14ac:dyDescent="0.35"/>
    <row r="976" s="22" customFormat="1" x14ac:dyDescent="0.35"/>
    <row r="977" s="22" customFormat="1" x14ac:dyDescent="0.35"/>
    <row r="978" s="22" customFormat="1" x14ac:dyDescent="0.35"/>
    <row r="979" s="22" customFormat="1" x14ac:dyDescent="0.35"/>
    <row r="980" s="22" customFormat="1" x14ac:dyDescent="0.35"/>
    <row r="981" s="22" customFormat="1" x14ac:dyDescent="0.35"/>
    <row r="982" s="22" customFormat="1" x14ac:dyDescent="0.35"/>
    <row r="983" s="22" customFormat="1" x14ac:dyDescent="0.35"/>
    <row r="984" s="22" customFormat="1" x14ac:dyDescent="0.35"/>
    <row r="985" s="22" customFormat="1" x14ac:dyDescent="0.35"/>
    <row r="986" s="22" customFormat="1" x14ac:dyDescent="0.35"/>
    <row r="987" s="22" customFormat="1" x14ac:dyDescent="0.35"/>
    <row r="988" s="22" customFormat="1" x14ac:dyDescent="0.35"/>
    <row r="989" s="22" customFormat="1" x14ac:dyDescent="0.35"/>
    <row r="990" s="22" customFormat="1" x14ac:dyDescent="0.35"/>
    <row r="991" s="22" customFormat="1" x14ac:dyDescent="0.35"/>
    <row r="992" s="22" customFormat="1" x14ac:dyDescent="0.35"/>
    <row r="993" s="22" customFormat="1" x14ac:dyDescent="0.35"/>
    <row r="994" s="22" customFormat="1" x14ac:dyDescent="0.35"/>
    <row r="995" s="22" customFormat="1" x14ac:dyDescent="0.35"/>
    <row r="996" s="22" customFormat="1" x14ac:dyDescent="0.35"/>
    <row r="997" s="22" customFormat="1" x14ac:dyDescent="0.35"/>
    <row r="998" s="22" customFormat="1" x14ac:dyDescent="0.35"/>
    <row r="999" s="22" customFormat="1" x14ac:dyDescent="0.35"/>
    <row r="1000" s="22" customFormat="1" x14ac:dyDescent="0.35"/>
    <row r="1001" s="22" customFormat="1" x14ac:dyDescent="0.35"/>
    <row r="1002" s="22" customFormat="1" x14ac:dyDescent="0.35"/>
    <row r="1003" s="22" customFormat="1" x14ac:dyDescent="0.35"/>
    <row r="1004" s="22" customFormat="1" x14ac:dyDescent="0.35"/>
    <row r="1005" s="22" customFormat="1" x14ac:dyDescent="0.35"/>
    <row r="1006" s="22" customFormat="1" x14ac:dyDescent="0.35"/>
    <row r="1007" s="22" customFormat="1" x14ac:dyDescent="0.35"/>
    <row r="1008" s="22" customFormat="1" x14ac:dyDescent="0.35"/>
    <row r="1009" s="22" customFormat="1" x14ac:dyDescent="0.35"/>
    <row r="1010" s="22" customFormat="1" x14ac:dyDescent="0.35"/>
    <row r="1011" s="22" customFormat="1" x14ac:dyDescent="0.35"/>
    <row r="1012" s="22" customFormat="1" x14ac:dyDescent="0.35"/>
    <row r="1013" s="22" customFormat="1" x14ac:dyDescent="0.35"/>
    <row r="1014" s="22" customFormat="1" x14ac:dyDescent="0.35"/>
    <row r="1015" s="22" customFormat="1" x14ac:dyDescent="0.35"/>
    <row r="1016" s="22" customFormat="1" x14ac:dyDescent="0.35"/>
    <row r="1017" s="22" customFormat="1" x14ac:dyDescent="0.35"/>
    <row r="1018" s="22" customFormat="1" x14ac:dyDescent="0.35"/>
    <row r="1019" s="22" customFormat="1" x14ac:dyDescent="0.35"/>
    <row r="1020" s="22" customFormat="1" x14ac:dyDescent="0.35"/>
    <row r="1021" s="22" customFormat="1" x14ac:dyDescent="0.35"/>
    <row r="1022" s="22" customFormat="1" x14ac:dyDescent="0.35"/>
    <row r="1023" s="22" customFormat="1" x14ac:dyDescent="0.35"/>
    <row r="1024" s="22" customFormat="1" x14ac:dyDescent="0.35"/>
    <row r="1025" s="22" customFormat="1" x14ac:dyDescent="0.35"/>
    <row r="1026" s="22" customFormat="1" x14ac:dyDescent="0.35"/>
    <row r="1027" s="22" customFormat="1" x14ac:dyDescent="0.35"/>
    <row r="1028" s="22" customFormat="1" x14ac:dyDescent="0.35"/>
    <row r="1029" s="22" customFormat="1" x14ac:dyDescent="0.35"/>
    <row r="1030" s="22" customFormat="1" x14ac:dyDescent="0.35"/>
    <row r="1031" s="22" customFormat="1" x14ac:dyDescent="0.35"/>
    <row r="1032" s="22" customFormat="1" x14ac:dyDescent="0.35"/>
    <row r="1033" s="22" customFormat="1" x14ac:dyDescent="0.35"/>
    <row r="1034" s="22" customFormat="1" x14ac:dyDescent="0.35"/>
    <row r="1035" s="22" customFormat="1" x14ac:dyDescent="0.35"/>
    <row r="1036" s="22" customFormat="1" x14ac:dyDescent="0.35"/>
    <row r="1037" s="22" customFormat="1" x14ac:dyDescent="0.35"/>
    <row r="1038" s="22" customFormat="1" x14ac:dyDescent="0.35"/>
    <row r="1039" s="22" customFormat="1" x14ac:dyDescent="0.35"/>
    <row r="1040" s="22" customFormat="1" x14ac:dyDescent="0.35"/>
    <row r="1041" s="22" customFormat="1" x14ac:dyDescent="0.35"/>
    <row r="1042" s="22" customFormat="1" x14ac:dyDescent="0.35"/>
    <row r="1043" s="22" customFormat="1" x14ac:dyDescent="0.35"/>
    <row r="1044" s="22" customFormat="1" x14ac:dyDescent="0.35"/>
    <row r="1045" s="22" customFormat="1" x14ac:dyDescent="0.35"/>
    <row r="1046" s="22" customFormat="1" x14ac:dyDescent="0.35"/>
    <row r="1047" s="22" customFormat="1" x14ac:dyDescent="0.35"/>
    <row r="1048" s="22" customFormat="1" x14ac:dyDescent="0.35"/>
    <row r="1049" s="22" customFormat="1" x14ac:dyDescent="0.35"/>
    <row r="1050" s="22" customFormat="1" x14ac:dyDescent="0.35"/>
    <row r="1051" s="22" customFormat="1" x14ac:dyDescent="0.35"/>
    <row r="1052" s="22" customFormat="1" x14ac:dyDescent="0.35"/>
    <row r="1053" s="22" customFormat="1" x14ac:dyDescent="0.35"/>
    <row r="1054" s="22" customFormat="1" x14ac:dyDescent="0.35"/>
    <row r="1055" s="22" customFormat="1" x14ac:dyDescent="0.35"/>
    <row r="1056" s="22" customFormat="1" x14ac:dyDescent="0.35"/>
    <row r="1057" s="22" customFormat="1" x14ac:dyDescent="0.35"/>
    <row r="1058" s="22" customFormat="1" x14ac:dyDescent="0.35"/>
    <row r="1059" s="22" customFormat="1" x14ac:dyDescent="0.35"/>
    <row r="1060" s="22" customFormat="1" x14ac:dyDescent="0.35"/>
    <row r="1061" s="22" customFormat="1" x14ac:dyDescent="0.35"/>
    <row r="1062" s="22" customFormat="1" x14ac:dyDescent="0.35"/>
    <row r="1063" s="22" customFormat="1" x14ac:dyDescent="0.35"/>
    <row r="1064" s="22" customFormat="1" x14ac:dyDescent="0.35"/>
    <row r="1065" s="22" customFormat="1" x14ac:dyDescent="0.35"/>
    <row r="1066" s="22" customFormat="1" x14ac:dyDescent="0.35"/>
    <row r="1067" s="22" customFormat="1" x14ac:dyDescent="0.35"/>
    <row r="1068" s="22" customFormat="1" x14ac:dyDescent="0.35"/>
    <row r="1069" s="22" customFormat="1" x14ac:dyDescent="0.35"/>
    <row r="1070" s="22" customFormat="1" x14ac:dyDescent="0.35"/>
    <row r="1071" s="22" customFormat="1" x14ac:dyDescent="0.35"/>
    <row r="1072" s="22" customFormat="1" x14ac:dyDescent="0.35"/>
    <row r="1073" s="22" customFormat="1" x14ac:dyDescent="0.35"/>
    <row r="1074" s="22" customFormat="1" x14ac:dyDescent="0.35"/>
    <row r="1075" s="22" customFormat="1" x14ac:dyDescent="0.35"/>
    <row r="1076" s="22" customFormat="1" x14ac:dyDescent="0.35"/>
    <row r="1077" s="22" customFormat="1" x14ac:dyDescent="0.35"/>
    <row r="1078" s="22" customFormat="1" x14ac:dyDescent="0.35"/>
    <row r="1079" s="22" customFormat="1" x14ac:dyDescent="0.35"/>
    <row r="1080" s="22" customFormat="1" x14ac:dyDescent="0.35"/>
    <row r="1081" s="22" customFormat="1" x14ac:dyDescent="0.35"/>
    <row r="1082" s="22" customFormat="1" x14ac:dyDescent="0.35"/>
    <row r="1083" s="22" customFormat="1" x14ac:dyDescent="0.35"/>
    <row r="1084" s="22" customFormat="1" x14ac:dyDescent="0.35"/>
    <row r="1085" s="22" customFormat="1" x14ac:dyDescent="0.35"/>
    <row r="1086" s="22" customFormat="1" x14ac:dyDescent="0.35"/>
    <row r="1087" s="22" customFormat="1" x14ac:dyDescent="0.35"/>
    <row r="1088" s="22" customFormat="1" x14ac:dyDescent="0.35"/>
    <row r="1089" s="22" customFormat="1" x14ac:dyDescent="0.35"/>
    <row r="1090" s="22" customFormat="1" x14ac:dyDescent="0.35"/>
    <row r="1091" s="22" customFormat="1" x14ac:dyDescent="0.35"/>
    <row r="1092" s="22" customFormat="1" x14ac:dyDescent="0.35"/>
    <row r="1093" s="22" customFormat="1" x14ac:dyDescent="0.35"/>
    <row r="1094" s="22" customFormat="1" x14ac:dyDescent="0.35"/>
    <row r="1095" s="22" customFormat="1" x14ac:dyDescent="0.35"/>
    <row r="1096" s="22" customFormat="1" x14ac:dyDescent="0.35"/>
    <row r="1097" s="22" customFormat="1" x14ac:dyDescent="0.35"/>
    <row r="1098" s="22" customFormat="1" x14ac:dyDescent="0.35"/>
    <row r="1099" s="22" customFormat="1" x14ac:dyDescent="0.35"/>
    <row r="1100" s="22" customFormat="1" x14ac:dyDescent="0.35"/>
    <row r="1101" s="22" customFormat="1" x14ac:dyDescent="0.35"/>
    <row r="1102" s="22" customFormat="1" x14ac:dyDescent="0.35"/>
    <row r="1103" s="22" customFormat="1" x14ac:dyDescent="0.35"/>
    <row r="1104" s="22" customFormat="1" x14ac:dyDescent="0.35"/>
    <row r="1105" s="22" customFormat="1" x14ac:dyDescent="0.35"/>
    <row r="1106" s="22" customFormat="1" x14ac:dyDescent="0.35"/>
    <row r="1107" s="22" customFormat="1" x14ac:dyDescent="0.35"/>
    <row r="1108" s="22" customFormat="1" x14ac:dyDescent="0.35"/>
    <row r="1109" s="22" customFormat="1" x14ac:dyDescent="0.35"/>
    <row r="1110" s="22" customFormat="1" x14ac:dyDescent="0.35"/>
    <row r="1111" s="22" customFormat="1" x14ac:dyDescent="0.35"/>
    <row r="1112" s="22" customFormat="1" x14ac:dyDescent="0.35"/>
    <row r="1113" s="22" customFormat="1" x14ac:dyDescent="0.35"/>
    <row r="1114" s="22" customFormat="1" x14ac:dyDescent="0.35"/>
    <row r="1115" s="22" customFormat="1" x14ac:dyDescent="0.35"/>
    <row r="1116" s="22" customFormat="1" x14ac:dyDescent="0.35"/>
    <row r="1117" s="22" customFormat="1" x14ac:dyDescent="0.35"/>
    <row r="1118" s="22" customFormat="1" x14ac:dyDescent="0.35"/>
    <row r="1119" s="22" customFormat="1" x14ac:dyDescent="0.35"/>
    <row r="1120" s="22" customFormat="1" x14ac:dyDescent="0.35"/>
    <row r="1121" s="22" customFormat="1" x14ac:dyDescent="0.35"/>
    <row r="1122" s="22" customFormat="1" x14ac:dyDescent="0.35"/>
    <row r="1123" s="22" customFormat="1" x14ac:dyDescent="0.35"/>
    <row r="1124" s="22" customFormat="1" x14ac:dyDescent="0.35"/>
    <row r="1125" s="22" customFormat="1" x14ac:dyDescent="0.35"/>
    <row r="1126" s="22" customFormat="1" x14ac:dyDescent="0.35"/>
    <row r="1127" s="22" customFormat="1" x14ac:dyDescent="0.35"/>
    <row r="1128" s="22" customFormat="1" x14ac:dyDescent="0.35"/>
    <row r="1129" s="22" customFormat="1" x14ac:dyDescent="0.35"/>
    <row r="1130" s="22" customFormat="1" x14ac:dyDescent="0.35"/>
    <row r="1131" s="22" customFormat="1" x14ac:dyDescent="0.35"/>
    <row r="1132" s="22" customFormat="1" x14ac:dyDescent="0.35"/>
    <row r="1133" s="22" customFormat="1" x14ac:dyDescent="0.35"/>
    <row r="1134" s="22" customFormat="1" x14ac:dyDescent="0.35"/>
    <row r="1135" s="22" customFormat="1" x14ac:dyDescent="0.35"/>
    <row r="1136" s="22" customFormat="1" x14ac:dyDescent="0.35"/>
    <row r="1137" s="22" customFormat="1" x14ac:dyDescent="0.35"/>
    <row r="1138" s="22" customFormat="1" x14ac:dyDescent="0.35"/>
    <row r="1139" s="22" customFormat="1" x14ac:dyDescent="0.35"/>
    <row r="1140" s="22" customFormat="1" x14ac:dyDescent="0.35"/>
    <row r="1141" s="22" customFormat="1" x14ac:dyDescent="0.35"/>
    <row r="1142" s="22" customFormat="1" x14ac:dyDescent="0.35"/>
    <row r="1143" s="22" customFormat="1" x14ac:dyDescent="0.35"/>
    <row r="1144" s="22" customFormat="1" x14ac:dyDescent="0.35"/>
    <row r="1145" s="22" customFormat="1" x14ac:dyDescent="0.35"/>
    <row r="1146" s="22" customFormat="1" x14ac:dyDescent="0.35"/>
    <row r="1147" s="22" customFormat="1" x14ac:dyDescent="0.35"/>
    <row r="1148" s="22" customFormat="1" x14ac:dyDescent="0.35"/>
    <row r="1149" s="22" customFormat="1" x14ac:dyDescent="0.35"/>
    <row r="1150" s="22" customFormat="1" x14ac:dyDescent="0.35"/>
    <row r="1151" s="22" customFormat="1" x14ac:dyDescent="0.35"/>
    <row r="1152" s="22" customFormat="1" x14ac:dyDescent="0.35"/>
    <row r="1153" s="22" customFormat="1" x14ac:dyDescent="0.35"/>
    <row r="1154" s="22" customFormat="1" x14ac:dyDescent="0.35"/>
    <row r="1155" s="22" customFormat="1" x14ac:dyDescent="0.35"/>
    <row r="1156" s="22" customFormat="1" x14ac:dyDescent="0.35"/>
    <row r="1157" s="22" customFormat="1" x14ac:dyDescent="0.35"/>
    <row r="1158" s="22" customFormat="1" x14ac:dyDescent="0.35"/>
    <row r="1159" s="22" customFormat="1" x14ac:dyDescent="0.35"/>
    <row r="1160" s="22" customFormat="1" x14ac:dyDescent="0.35"/>
    <row r="1161" s="22" customFormat="1" x14ac:dyDescent="0.35"/>
    <row r="1162" s="22" customFormat="1" x14ac:dyDescent="0.35"/>
    <row r="1163" s="22" customFormat="1" x14ac:dyDescent="0.35"/>
    <row r="1164" s="22" customFormat="1" x14ac:dyDescent="0.35"/>
    <row r="1165" s="22" customFormat="1" x14ac:dyDescent="0.35"/>
    <row r="1166" s="22" customFormat="1" x14ac:dyDescent="0.35"/>
    <row r="1167" s="22" customFormat="1" x14ac:dyDescent="0.35"/>
    <row r="1168" s="22" customFormat="1" x14ac:dyDescent="0.35"/>
    <row r="1169" s="22" customFormat="1" x14ac:dyDescent="0.35"/>
    <row r="1170" s="22" customFormat="1" x14ac:dyDescent="0.35"/>
    <row r="1171" s="22" customFormat="1" x14ac:dyDescent="0.35"/>
    <row r="1172" s="22" customFormat="1" x14ac:dyDescent="0.35"/>
    <row r="1173" s="22" customFormat="1" x14ac:dyDescent="0.35"/>
    <row r="1174" s="22" customFormat="1" x14ac:dyDescent="0.35"/>
    <row r="1175" s="22" customFormat="1" x14ac:dyDescent="0.35"/>
    <row r="1176" s="22" customFormat="1" x14ac:dyDescent="0.35"/>
    <row r="1177" s="22" customFormat="1" x14ac:dyDescent="0.35"/>
    <row r="1178" s="22" customFormat="1" x14ac:dyDescent="0.35"/>
    <row r="1179" s="22" customFormat="1" x14ac:dyDescent="0.35"/>
    <row r="1180" s="22" customFormat="1" x14ac:dyDescent="0.35"/>
    <row r="1181" s="22" customFormat="1" x14ac:dyDescent="0.35"/>
    <row r="1182" s="22" customFormat="1" x14ac:dyDescent="0.35"/>
    <row r="1183" s="22" customFormat="1" x14ac:dyDescent="0.35"/>
    <row r="1184" s="22" customFormat="1" x14ac:dyDescent="0.35"/>
    <row r="1185" s="22" customFormat="1" x14ac:dyDescent="0.35"/>
    <row r="1186" s="22" customFormat="1" x14ac:dyDescent="0.35"/>
    <row r="1187" s="22" customFormat="1" x14ac:dyDescent="0.35"/>
    <row r="1188" s="22" customFormat="1" x14ac:dyDescent="0.35"/>
    <row r="1189" s="22" customFormat="1" x14ac:dyDescent="0.35"/>
    <row r="1190" s="22" customFormat="1" x14ac:dyDescent="0.35"/>
    <row r="1191" s="22" customFormat="1" x14ac:dyDescent="0.35"/>
    <row r="1192" s="22" customFormat="1" x14ac:dyDescent="0.35"/>
    <row r="1193" s="22" customFormat="1" x14ac:dyDescent="0.35"/>
    <row r="1194" s="22" customFormat="1" x14ac:dyDescent="0.35"/>
    <row r="1195" s="22" customFormat="1" x14ac:dyDescent="0.35"/>
    <row r="1196" s="22" customFormat="1" x14ac:dyDescent="0.35"/>
    <row r="1197" s="22" customFormat="1" x14ac:dyDescent="0.35"/>
    <row r="1198" s="22" customFormat="1" x14ac:dyDescent="0.35"/>
    <row r="1199" s="22" customFormat="1" x14ac:dyDescent="0.35"/>
    <row r="1200" s="22" customFormat="1" x14ac:dyDescent="0.35"/>
    <row r="1201" s="22" customFormat="1" x14ac:dyDescent="0.35"/>
    <row r="1202" s="22" customFormat="1" x14ac:dyDescent="0.35"/>
    <row r="1203" s="22" customFormat="1" x14ac:dyDescent="0.35"/>
    <row r="1204" s="22" customFormat="1" x14ac:dyDescent="0.35"/>
    <row r="1205" s="22" customFormat="1" x14ac:dyDescent="0.35"/>
    <row r="1206" s="22" customFormat="1" x14ac:dyDescent="0.35"/>
    <row r="1207" s="22" customFormat="1" x14ac:dyDescent="0.35"/>
    <row r="1208" s="22" customFormat="1" x14ac:dyDescent="0.35"/>
    <row r="1209" s="22" customFormat="1" x14ac:dyDescent="0.35"/>
    <row r="1210" s="22" customFormat="1" x14ac:dyDescent="0.35"/>
    <row r="1211" s="22" customFormat="1" x14ac:dyDescent="0.35"/>
    <row r="1212" s="22" customFormat="1" x14ac:dyDescent="0.35"/>
    <row r="1213" s="22" customFormat="1" x14ac:dyDescent="0.35"/>
    <row r="1214" s="22" customFormat="1" x14ac:dyDescent="0.35"/>
    <row r="1215" s="22" customFormat="1" x14ac:dyDescent="0.35"/>
    <row r="1216" s="22" customFormat="1" x14ac:dyDescent="0.35"/>
    <row r="1217" s="22" customFormat="1" x14ac:dyDescent="0.35"/>
    <row r="1218" s="22" customFormat="1" x14ac:dyDescent="0.35"/>
    <row r="1219" s="22" customFormat="1" x14ac:dyDescent="0.35"/>
    <row r="1220" s="22" customFormat="1" x14ac:dyDescent="0.35"/>
    <row r="1221" s="22" customFormat="1" x14ac:dyDescent="0.35"/>
    <row r="1222" s="22" customFormat="1" x14ac:dyDescent="0.35"/>
    <row r="1223" s="22" customFormat="1" x14ac:dyDescent="0.35"/>
    <row r="1224" s="22" customFormat="1" x14ac:dyDescent="0.35"/>
    <row r="1225" s="22" customFormat="1" x14ac:dyDescent="0.35"/>
    <row r="1226" s="22" customFormat="1" x14ac:dyDescent="0.35"/>
    <row r="1227" s="22" customFormat="1" x14ac:dyDescent="0.35"/>
    <row r="1228" s="22" customFormat="1" x14ac:dyDescent="0.35"/>
    <row r="1229" s="22" customFormat="1" x14ac:dyDescent="0.35"/>
    <row r="1230" s="22" customFormat="1" x14ac:dyDescent="0.35"/>
    <row r="1231" s="22" customFormat="1" x14ac:dyDescent="0.35"/>
    <row r="1232" s="22" customFormat="1" x14ac:dyDescent="0.35"/>
    <row r="1233" s="22" customFormat="1" x14ac:dyDescent="0.35"/>
    <row r="1234" s="22" customFormat="1" x14ac:dyDescent="0.35"/>
    <row r="1235" s="22" customFormat="1" x14ac:dyDescent="0.35"/>
    <row r="1236" s="22" customFormat="1" x14ac:dyDescent="0.35"/>
    <row r="1237" s="22" customFormat="1" x14ac:dyDescent="0.35"/>
    <row r="1238" s="22" customFormat="1" x14ac:dyDescent="0.35"/>
    <row r="1239" s="22" customFormat="1" x14ac:dyDescent="0.35"/>
    <row r="1240" s="22" customFormat="1" x14ac:dyDescent="0.35"/>
    <row r="1241" s="22" customFormat="1" x14ac:dyDescent="0.35"/>
    <row r="1242" s="22" customFormat="1" x14ac:dyDescent="0.35"/>
    <row r="1243" s="22" customFormat="1" x14ac:dyDescent="0.35"/>
    <row r="1244" s="22" customFormat="1" x14ac:dyDescent="0.35"/>
    <row r="1245" s="22" customFormat="1" x14ac:dyDescent="0.35"/>
    <row r="1246" s="22" customFormat="1" x14ac:dyDescent="0.35"/>
    <row r="1247" s="22" customFormat="1" x14ac:dyDescent="0.35"/>
    <row r="1248" s="22" customFormat="1" x14ac:dyDescent="0.35"/>
    <row r="1249" s="22" customFormat="1" x14ac:dyDescent="0.35"/>
    <row r="1250" s="22" customFormat="1" x14ac:dyDescent="0.35"/>
    <row r="1251" s="22" customFormat="1" x14ac:dyDescent="0.35"/>
    <row r="1252" s="22" customFormat="1" x14ac:dyDescent="0.35"/>
    <row r="1253" s="22" customFormat="1" x14ac:dyDescent="0.35"/>
    <row r="1254" s="22" customFormat="1" x14ac:dyDescent="0.35"/>
    <row r="1255" s="22" customFormat="1" x14ac:dyDescent="0.35"/>
    <row r="1256" s="22" customFormat="1" x14ac:dyDescent="0.35"/>
    <row r="1257" s="22" customFormat="1" x14ac:dyDescent="0.35"/>
    <row r="1258" s="22" customFormat="1" x14ac:dyDescent="0.35"/>
    <row r="1259" s="22" customFormat="1" x14ac:dyDescent="0.35"/>
    <row r="1260" s="22" customFormat="1" x14ac:dyDescent="0.35"/>
    <row r="1261" s="22" customFormat="1" x14ac:dyDescent="0.35"/>
    <row r="1262" s="22" customFormat="1" x14ac:dyDescent="0.35"/>
    <row r="1263" s="22" customFormat="1" x14ac:dyDescent="0.35"/>
    <row r="1264" s="22" customFormat="1" x14ac:dyDescent="0.35"/>
    <row r="1265" s="22" customFormat="1" x14ac:dyDescent="0.35"/>
    <row r="1266" s="22" customFormat="1" x14ac:dyDescent="0.35"/>
    <row r="1267" s="22" customFormat="1" x14ac:dyDescent="0.35"/>
    <row r="1268" s="22" customFormat="1" x14ac:dyDescent="0.35"/>
    <row r="1269" s="22" customFormat="1" x14ac:dyDescent="0.35"/>
    <row r="1270" s="22" customFormat="1" x14ac:dyDescent="0.35"/>
    <row r="1271" s="22" customFormat="1" x14ac:dyDescent="0.35"/>
    <row r="1272" s="22" customFormat="1" x14ac:dyDescent="0.35"/>
    <row r="1273" s="22" customFormat="1" x14ac:dyDescent="0.35"/>
    <row r="1274" s="22" customFormat="1" x14ac:dyDescent="0.35"/>
    <row r="1275" s="22" customFormat="1" x14ac:dyDescent="0.35"/>
    <row r="1276" s="22" customFormat="1" x14ac:dyDescent="0.35"/>
    <row r="1277" s="22" customFormat="1" x14ac:dyDescent="0.35"/>
    <row r="1278" s="22" customFormat="1" x14ac:dyDescent="0.35"/>
    <row r="1279" s="22" customFormat="1" x14ac:dyDescent="0.35"/>
    <row r="1280" s="22" customFormat="1" x14ac:dyDescent="0.35"/>
    <row r="1281" s="22" customFormat="1" x14ac:dyDescent="0.35"/>
    <row r="1282" s="22" customFormat="1" x14ac:dyDescent="0.35"/>
    <row r="1283" s="22" customFormat="1" x14ac:dyDescent="0.35"/>
    <row r="1284" s="22" customFormat="1" x14ac:dyDescent="0.35"/>
    <row r="1285" s="22" customFormat="1" x14ac:dyDescent="0.35"/>
    <row r="1286" s="22" customFormat="1" x14ac:dyDescent="0.35"/>
    <row r="1287" s="22" customFormat="1" x14ac:dyDescent="0.35"/>
    <row r="1288" s="22" customFormat="1" x14ac:dyDescent="0.35"/>
    <row r="1289" s="22" customFormat="1" x14ac:dyDescent="0.35"/>
    <row r="1290" s="22" customFormat="1" x14ac:dyDescent="0.35"/>
    <row r="1291" s="22" customFormat="1" x14ac:dyDescent="0.35"/>
    <row r="1292" s="22" customFormat="1" x14ac:dyDescent="0.35"/>
    <row r="1293" s="22" customFormat="1" x14ac:dyDescent="0.35"/>
    <row r="1294" s="22" customFormat="1" x14ac:dyDescent="0.35"/>
    <row r="1295" s="22" customFormat="1" x14ac:dyDescent="0.35"/>
    <row r="1296" s="22" customFormat="1" x14ac:dyDescent="0.35"/>
    <row r="1297" s="22" customFormat="1" x14ac:dyDescent="0.35"/>
    <row r="1298" s="22" customFormat="1" x14ac:dyDescent="0.35"/>
    <row r="1299" s="22" customFormat="1" x14ac:dyDescent="0.35"/>
    <row r="1300" s="22" customFormat="1" x14ac:dyDescent="0.35"/>
    <row r="1301" s="22" customFormat="1" x14ac:dyDescent="0.35"/>
    <row r="1302" s="22" customFormat="1" x14ac:dyDescent="0.35"/>
    <row r="1303" s="22" customFormat="1" x14ac:dyDescent="0.35"/>
    <row r="1304" s="22" customFormat="1" x14ac:dyDescent="0.35"/>
    <row r="1305" s="22" customFormat="1" x14ac:dyDescent="0.35"/>
    <row r="1306" s="22" customFormat="1" x14ac:dyDescent="0.35"/>
    <row r="1307" s="22" customFormat="1" x14ac:dyDescent="0.35"/>
    <row r="1308" s="22" customFormat="1" x14ac:dyDescent="0.35"/>
    <row r="1309" s="22" customFormat="1" x14ac:dyDescent="0.35"/>
    <row r="1310" s="22" customFormat="1" x14ac:dyDescent="0.35"/>
    <row r="1311" s="22" customFormat="1" x14ac:dyDescent="0.35"/>
    <row r="1312" s="22" customFormat="1" x14ac:dyDescent="0.35"/>
    <row r="1313" s="22" customFormat="1" x14ac:dyDescent="0.35"/>
    <row r="1314" s="22" customFormat="1" x14ac:dyDescent="0.35"/>
    <row r="1315" s="22" customFormat="1" x14ac:dyDescent="0.35"/>
    <row r="1316" s="22" customFormat="1" x14ac:dyDescent="0.35"/>
    <row r="1317" s="22" customFormat="1" x14ac:dyDescent="0.35"/>
    <row r="1318" s="22" customFormat="1" x14ac:dyDescent="0.35"/>
    <row r="1319" s="22" customFormat="1" x14ac:dyDescent="0.35"/>
    <row r="1320" s="22" customFormat="1" x14ac:dyDescent="0.35"/>
    <row r="1321" s="22" customFormat="1" x14ac:dyDescent="0.35"/>
    <row r="1322" s="22" customFormat="1" x14ac:dyDescent="0.35"/>
    <row r="1323" s="22" customFormat="1" x14ac:dyDescent="0.35"/>
    <row r="1324" s="22" customFormat="1" x14ac:dyDescent="0.35"/>
    <row r="1325" s="22" customFormat="1" x14ac:dyDescent="0.35"/>
    <row r="1326" s="22" customFormat="1" x14ac:dyDescent="0.35"/>
    <row r="1327" s="22" customFormat="1" x14ac:dyDescent="0.35"/>
    <row r="1328" s="22" customFormat="1" x14ac:dyDescent="0.35"/>
    <row r="1329" s="22" customFormat="1" x14ac:dyDescent="0.35"/>
    <row r="1330" s="22" customFormat="1" x14ac:dyDescent="0.35"/>
    <row r="1331" s="22" customFormat="1" x14ac:dyDescent="0.35"/>
    <row r="1332" s="22" customFormat="1" x14ac:dyDescent="0.35"/>
    <row r="1333" s="22" customFormat="1" x14ac:dyDescent="0.35"/>
    <row r="1334" s="22" customFormat="1" x14ac:dyDescent="0.35"/>
    <row r="1335" s="22" customFormat="1" x14ac:dyDescent="0.35"/>
    <row r="1336" s="22" customFormat="1" x14ac:dyDescent="0.35"/>
    <row r="1337" s="22" customFormat="1" x14ac:dyDescent="0.35"/>
    <row r="1338" s="22" customFormat="1" x14ac:dyDescent="0.35"/>
    <row r="1339" s="22" customFormat="1" x14ac:dyDescent="0.35"/>
    <row r="1340" s="22" customFormat="1" x14ac:dyDescent="0.35"/>
    <row r="1341" s="22" customFormat="1" x14ac:dyDescent="0.35"/>
    <row r="1342" s="22" customFormat="1" x14ac:dyDescent="0.35"/>
    <row r="1343" s="22" customFormat="1" x14ac:dyDescent="0.35"/>
    <row r="1344" s="22" customFormat="1" x14ac:dyDescent="0.35"/>
    <row r="1345" s="22" customFormat="1" x14ac:dyDescent="0.35"/>
    <row r="1346" s="22" customFormat="1" x14ac:dyDescent="0.35"/>
    <row r="1347" s="22" customFormat="1" x14ac:dyDescent="0.35"/>
    <row r="1348" s="22" customFormat="1" x14ac:dyDescent="0.35"/>
    <row r="1349" s="22" customFormat="1" x14ac:dyDescent="0.35"/>
    <row r="1350" s="22" customFormat="1" x14ac:dyDescent="0.35"/>
    <row r="1351" s="22" customFormat="1" x14ac:dyDescent="0.35"/>
    <row r="1352" s="22" customFormat="1" x14ac:dyDescent="0.35"/>
    <row r="1353" s="22" customFormat="1" x14ac:dyDescent="0.35"/>
    <row r="1354" s="22" customFormat="1" x14ac:dyDescent="0.35"/>
    <row r="1355" s="22" customFormat="1" x14ac:dyDescent="0.35"/>
    <row r="1356" s="22" customFormat="1" x14ac:dyDescent="0.35"/>
    <row r="1357" s="22" customFormat="1" x14ac:dyDescent="0.35"/>
    <row r="1358" s="22" customFormat="1" x14ac:dyDescent="0.35"/>
    <row r="1359" s="22" customFormat="1" x14ac:dyDescent="0.35"/>
    <row r="1360" s="22" customFormat="1" x14ac:dyDescent="0.35"/>
    <row r="1361" s="22" customFormat="1" x14ac:dyDescent="0.35"/>
    <row r="1362" s="22" customFormat="1" x14ac:dyDescent="0.35"/>
    <row r="1363" s="22" customFormat="1" x14ac:dyDescent="0.35"/>
    <row r="1364" s="22" customFormat="1" x14ac:dyDescent="0.35"/>
    <row r="1365" s="22" customFormat="1" x14ac:dyDescent="0.35"/>
    <row r="1366" s="22" customFormat="1" x14ac:dyDescent="0.35"/>
    <row r="1367" s="22" customFormat="1" x14ac:dyDescent="0.35"/>
    <row r="1368" s="22" customFormat="1" x14ac:dyDescent="0.35"/>
    <row r="1369" s="22" customFormat="1" x14ac:dyDescent="0.35"/>
    <row r="1370" s="22" customFormat="1" x14ac:dyDescent="0.35"/>
    <row r="1371" s="22" customFormat="1" x14ac:dyDescent="0.35"/>
    <row r="1372" s="22" customFormat="1" x14ac:dyDescent="0.35"/>
    <row r="1373" s="22" customFormat="1" x14ac:dyDescent="0.35"/>
    <row r="1374" s="22" customFormat="1" x14ac:dyDescent="0.35"/>
    <row r="1375" s="22" customFormat="1" x14ac:dyDescent="0.35"/>
    <row r="1376" s="22" customFormat="1" x14ac:dyDescent="0.35"/>
    <row r="1377" s="22" customFormat="1" x14ac:dyDescent="0.35"/>
    <row r="1378" s="22" customFormat="1" x14ac:dyDescent="0.35"/>
    <row r="1379" s="22" customFormat="1" x14ac:dyDescent="0.35"/>
    <row r="1380" s="22" customFormat="1" x14ac:dyDescent="0.35"/>
    <row r="1381" s="22" customFormat="1" x14ac:dyDescent="0.35"/>
    <row r="1382" s="22" customFormat="1" x14ac:dyDescent="0.35"/>
    <row r="1383" s="22" customFormat="1" x14ac:dyDescent="0.35"/>
    <row r="1384" s="22" customFormat="1" x14ac:dyDescent="0.35"/>
    <row r="1385" s="22" customFormat="1" x14ac:dyDescent="0.35"/>
    <row r="1386" s="22" customFormat="1" x14ac:dyDescent="0.35"/>
    <row r="1387" s="22" customFormat="1" x14ac:dyDescent="0.35"/>
    <row r="1388" s="22" customFormat="1" x14ac:dyDescent="0.35"/>
    <row r="1389" s="22" customFormat="1" x14ac:dyDescent="0.35"/>
    <row r="1390" s="22" customFormat="1" x14ac:dyDescent="0.35"/>
    <row r="1391" s="22" customFormat="1" x14ac:dyDescent="0.35"/>
    <row r="1392" s="22" customFormat="1" x14ac:dyDescent="0.35"/>
    <row r="1393" s="22" customFormat="1" x14ac:dyDescent="0.35"/>
    <row r="1394" s="22" customFormat="1" x14ac:dyDescent="0.35"/>
    <row r="1395" s="22" customFormat="1" x14ac:dyDescent="0.35"/>
    <row r="1396" s="22" customFormat="1" x14ac:dyDescent="0.35"/>
    <row r="1397" s="22" customFormat="1" x14ac:dyDescent="0.35"/>
    <row r="1398" s="22" customFormat="1" x14ac:dyDescent="0.35"/>
    <row r="1399" s="22" customFormat="1" x14ac:dyDescent="0.35"/>
    <row r="1400" s="22" customFormat="1" x14ac:dyDescent="0.35"/>
    <row r="1401" s="22" customFormat="1" x14ac:dyDescent="0.35"/>
    <row r="1402" s="22" customFormat="1" x14ac:dyDescent="0.35"/>
    <row r="1403" s="22" customFormat="1" x14ac:dyDescent="0.35"/>
    <row r="1404" s="22" customFormat="1" x14ac:dyDescent="0.35"/>
    <row r="1405" s="22" customFormat="1" x14ac:dyDescent="0.35"/>
    <row r="1406" s="22" customFormat="1" x14ac:dyDescent="0.35"/>
    <row r="1407" s="22" customFormat="1" x14ac:dyDescent="0.35"/>
    <row r="1408" s="22" customFormat="1" x14ac:dyDescent="0.35"/>
    <row r="1409" s="22" customFormat="1" x14ac:dyDescent="0.35"/>
    <row r="1410" s="22" customFormat="1" x14ac:dyDescent="0.35"/>
    <row r="1411" s="22" customFormat="1" x14ac:dyDescent="0.35"/>
    <row r="1412" s="22" customFormat="1" x14ac:dyDescent="0.35"/>
    <row r="1413" s="22" customFormat="1" x14ac:dyDescent="0.35"/>
    <row r="1414" s="22" customFormat="1" x14ac:dyDescent="0.35"/>
    <row r="1415" s="22" customFormat="1" x14ac:dyDescent="0.35"/>
    <row r="1416" s="22" customFormat="1" x14ac:dyDescent="0.35"/>
    <row r="1417" s="22" customFormat="1" x14ac:dyDescent="0.35"/>
    <row r="1418" s="22" customFormat="1" x14ac:dyDescent="0.35"/>
    <row r="1419" s="22" customFormat="1" x14ac:dyDescent="0.35"/>
    <row r="1420" s="22" customFormat="1" x14ac:dyDescent="0.35"/>
    <row r="1421" s="22" customFormat="1" x14ac:dyDescent="0.35"/>
    <row r="1422" s="22" customFormat="1" x14ac:dyDescent="0.35"/>
    <row r="1423" s="22" customFormat="1" x14ac:dyDescent="0.35"/>
    <row r="1424" s="22" customFormat="1" x14ac:dyDescent="0.35"/>
    <row r="1425" s="22" customFormat="1" x14ac:dyDescent="0.35"/>
    <row r="1426" s="22" customFormat="1" x14ac:dyDescent="0.35"/>
    <row r="1427" s="22" customFormat="1" x14ac:dyDescent="0.35"/>
    <row r="1428" s="22" customFormat="1" x14ac:dyDescent="0.35"/>
    <row r="1429" s="22" customFormat="1" x14ac:dyDescent="0.35"/>
    <row r="1430" s="22" customFormat="1" x14ac:dyDescent="0.35"/>
    <row r="1431" s="22" customFormat="1" x14ac:dyDescent="0.35"/>
    <row r="1432" s="22" customFormat="1" x14ac:dyDescent="0.35"/>
    <row r="1433" s="22" customFormat="1" x14ac:dyDescent="0.35"/>
    <row r="1434" s="22" customFormat="1" x14ac:dyDescent="0.35"/>
    <row r="1435" s="22" customFormat="1" x14ac:dyDescent="0.35"/>
    <row r="1436" s="22" customFormat="1" x14ac:dyDescent="0.35"/>
    <row r="1437" s="22" customFormat="1" x14ac:dyDescent="0.35"/>
    <row r="1438" s="22" customFormat="1" x14ac:dyDescent="0.35"/>
    <row r="1439" s="22" customFormat="1" x14ac:dyDescent="0.35"/>
    <row r="1440" s="22" customFormat="1" x14ac:dyDescent="0.35"/>
    <row r="1441" s="22" customFormat="1" x14ac:dyDescent="0.35"/>
    <row r="1442" s="22" customFormat="1" x14ac:dyDescent="0.35"/>
    <row r="1443" s="22" customFormat="1" x14ac:dyDescent="0.35"/>
    <row r="1444" s="22" customFormat="1" x14ac:dyDescent="0.35"/>
    <row r="1445" s="22" customFormat="1" x14ac:dyDescent="0.35"/>
    <row r="1446" s="22" customFormat="1" x14ac:dyDescent="0.35"/>
    <row r="1447" s="22" customFormat="1" x14ac:dyDescent="0.35"/>
    <row r="1448" s="22" customFormat="1" x14ac:dyDescent="0.35"/>
    <row r="1449" s="22" customFormat="1" x14ac:dyDescent="0.35"/>
    <row r="1450" s="22" customFormat="1" x14ac:dyDescent="0.35"/>
    <row r="1451" s="22" customFormat="1" x14ac:dyDescent="0.35"/>
    <row r="1452" s="22" customFormat="1" x14ac:dyDescent="0.35"/>
    <row r="1453" s="22" customFormat="1" x14ac:dyDescent="0.35"/>
    <row r="1454" s="22" customFormat="1" x14ac:dyDescent="0.35"/>
    <row r="1455" s="22" customFormat="1" x14ac:dyDescent="0.35"/>
    <row r="1456" s="22" customFormat="1" x14ac:dyDescent="0.35"/>
    <row r="1457" s="22" customFormat="1" x14ac:dyDescent="0.35"/>
    <row r="1458" s="22" customFormat="1" x14ac:dyDescent="0.35"/>
    <row r="1459" s="22" customFormat="1" x14ac:dyDescent="0.35"/>
    <row r="1460" s="22" customFormat="1" x14ac:dyDescent="0.35"/>
    <row r="1461" s="22" customFormat="1" x14ac:dyDescent="0.35"/>
    <row r="1462" s="22" customFormat="1" x14ac:dyDescent="0.35"/>
    <row r="1463" s="22" customFormat="1" x14ac:dyDescent="0.35"/>
    <row r="1464" s="22" customFormat="1" x14ac:dyDescent="0.35"/>
    <row r="1465" s="22" customFormat="1" x14ac:dyDescent="0.35"/>
    <row r="1466" s="22" customFormat="1" x14ac:dyDescent="0.35"/>
    <row r="1467" s="22" customFormat="1" x14ac:dyDescent="0.35"/>
    <row r="1468" s="22" customFormat="1" x14ac:dyDescent="0.35"/>
    <row r="1469" s="22" customFormat="1" x14ac:dyDescent="0.35"/>
    <row r="1470" s="22" customFormat="1" x14ac:dyDescent="0.35"/>
    <row r="1471" s="22" customFormat="1" x14ac:dyDescent="0.35"/>
    <row r="1472" s="22" customFormat="1" x14ac:dyDescent="0.35"/>
    <row r="1473" s="22" customFormat="1" x14ac:dyDescent="0.35"/>
    <row r="1474" s="22" customFormat="1" x14ac:dyDescent="0.35"/>
    <row r="1475" s="22" customFormat="1" x14ac:dyDescent="0.35"/>
    <row r="1476" s="22" customFormat="1" x14ac:dyDescent="0.35"/>
    <row r="1477" s="22" customFormat="1" x14ac:dyDescent="0.35"/>
    <row r="1478" s="22" customFormat="1" x14ac:dyDescent="0.35"/>
    <row r="1479" s="22" customFormat="1" x14ac:dyDescent="0.35"/>
    <row r="1480" s="22" customFormat="1" x14ac:dyDescent="0.35"/>
    <row r="1481" s="22" customFormat="1" x14ac:dyDescent="0.35"/>
    <row r="1482" s="22" customFormat="1" x14ac:dyDescent="0.35"/>
    <row r="1483" s="22" customFormat="1" x14ac:dyDescent="0.35"/>
    <row r="1484" s="22" customFormat="1" x14ac:dyDescent="0.35"/>
    <row r="1485" s="22" customFormat="1" x14ac:dyDescent="0.35"/>
    <row r="1486" s="22" customFormat="1" x14ac:dyDescent="0.35"/>
    <row r="1487" s="22" customFormat="1" x14ac:dyDescent="0.35"/>
    <row r="1488" s="22" customFormat="1" x14ac:dyDescent="0.35"/>
    <row r="1489" s="22" customFormat="1" x14ac:dyDescent="0.35"/>
    <row r="1490" s="22" customFormat="1" x14ac:dyDescent="0.35"/>
    <row r="1491" s="22" customFormat="1" x14ac:dyDescent="0.35"/>
    <row r="1492" s="22" customFormat="1" x14ac:dyDescent="0.35"/>
    <row r="1493" s="22" customFormat="1" x14ac:dyDescent="0.35"/>
    <row r="1494" s="22" customFormat="1" x14ac:dyDescent="0.35"/>
    <row r="1495" s="22" customFormat="1" x14ac:dyDescent="0.35"/>
    <row r="1496" s="22" customFormat="1" x14ac:dyDescent="0.35"/>
    <row r="1497" s="22" customFormat="1" x14ac:dyDescent="0.35"/>
    <row r="1498" s="22" customFormat="1" x14ac:dyDescent="0.35"/>
    <row r="1499" s="22" customFormat="1" x14ac:dyDescent="0.35"/>
    <row r="1500" s="22" customFormat="1" x14ac:dyDescent="0.35"/>
  </sheetData>
  <printOptions horizontalCentered="1"/>
  <pageMargins left="0.4" right="0.4" top="0.4" bottom="0.4" header="0.25" footer="0.25"/>
  <pageSetup paperSize="9" fitToHeight="0" orientation="portrait" r:id="rId1"/>
  <headerFooter differentFirst="1">
    <oddFooter>&amp;CPage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5356-8212-42A0-AB6A-D70EE283469E}">
  <dimension ref="B1:E49"/>
  <sheetViews>
    <sheetView showGridLines="0" zoomScale="85" zoomScaleNormal="85" workbookViewId="0">
      <selection activeCell="B3" sqref="B3"/>
    </sheetView>
  </sheetViews>
  <sheetFormatPr defaultColWidth="8.7265625" defaultRowHeight="17.399999999999999" x14ac:dyDescent="0.35"/>
  <cols>
    <col min="1" max="1" width="2.26953125" customWidth="1"/>
    <col min="2" max="2" width="51" customWidth="1"/>
    <col min="3" max="3" width="18" customWidth="1"/>
    <col min="4" max="5" width="14.26953125" style="4" customWidth="1"/>
    <col min="6" max="6" width="3.7265625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9" t="s">
        <v>41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1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Доходы27[[#Totals],[Планируемые]]</f>
        <v>0</v>
      </c>
      <c r="D15" s="4">
        <f>Доходы27[[#Totals],[Фактические]]</f>
        <v>0</v>
      </c>
      <c r="E15" s="13">
        <f>Доходы27[[#Totals],[Отклонение]]</f>
        <v>0</v>
      </c>
    </row>
    <row r="16" spans="2:5" x14ac:dyDescent="0.35">
      <c r="B16" s="12" t="s">
        <v>3</v>
      </c>
      <c r="C16" s="4">
        <f>Расходы28[[#Totals],[Планируемые]]</f>
        <v>0</v>
      </c>
      <c r="D16" s="4">
        <f>Расходы28[[#Totals],[Фактические]]</f>
        <v>0</v>
      </c>
      <c r="E16" s="13">
        <f>Расходы28[[#Totals],[Отклонение]]</f>
        <v>0</v>
      </c>
    </row>
    <row r="17" spans="2:5" x14ac:dyDescent="0.35">
      <c r="B17" s="12" t="s">
        <v>4</v>
      </c>
      <c r="C17" s="13">
        <f>C15-C16</f>
        <v>0</v>
      </c>
      <c r="D17" s="13">
        <f>D15-D16</f>
        <v>0</v>
      </c>
      <c r="E17" s="13">
        <f>SUBTOTAL(109,Движение_денежных_средств26[Отклонение])</f>
        <v>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Доходы27[[#This Row],[Фактические]]-Доходы27[[#This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Доходы27[[#This Row],[Фактические]]-Доходы27[[#This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Доходы27[[#This Row],[Фактические]]-Доходы27[[#This Row],[Планируемые]]</f>
        <v>0</v>
      </c>
    </row>
    <row r="23" spans="2:5" x14ac:dyDescent="0.35">
      <c r="B23" s="12" t="s">
        <v>35</v>
      </c>
      <c r="C23" s="13">
        <v>0</v>
      </c>
      <c r="D23" s="13">
        <v>0</v>
      </c>
      <c r="E23" s="13">
        <f>Доходы27[[#This Row],[Фактические]]-Доходы27[[#This Row],[Планируемые]]</f>
        <v>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Доходы27[[#This Row],[Фактические]]-Доходы27[[#This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Доходы27[[#This Row],[Фактические]]-Доходы27[[#This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SUBTOTAL(109,Доходы27[Планируемые])</f>
        <v>0</v>
      </c>
      <c r="D26" s="13">
        <f>SUBTOTAL(109,Доходы27[Фактические])</f>
        <v>0</v>
      </c>
      <c r="E26" s="13">
        <f>SUBTOTAL(109,Доходы27[Отклонение])</f>
        <v>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Расходы28[[#This Row],[Планируемые]]-Расходы28[[#This Row],[Фактические]]</f>
        <v>0</v>
      </c>
    </row>
    <row r="30" spans="2:5" x14ac:dyDescent="0.35">
      <c r="B30" s="12" t="s">
        <v>11</v>
      </c>
      <c r="C30" s="13">
        <v>0</v>
      </c>
      <c r="D30" s="13">
        <v>0</v>
      </c>
      <c r="E30" s="13">
        <f>Расходы28[[#This Row],[Планируемые]]-Расходы28[[#This Row],[Фактические]]</f>
        <v>0</v>
      </c>
    </row>
    <row r="31" spans="2:5" x14ac:dyDescent="0.35">
      <c r="B31" s="12" t="s">
        <v>12</v>
      </c>
      <c r="C31" s="13"/>
      <c r="D31" s="13">
        <v>0</v>
      </c>
      <c r="E31" s="13">
        <f>Расходы28[[#This Row],[Планируемые]]-Расходы28[[#This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Расходы28[[#This Row],[Планируемые]]-Расходы28[[#This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Расходы28[[#This Row],[Планируемые]]-Расходы28[[#This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Расходы28[[#This Row],[Планируемые]]-Расходы28[[#This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Расходы28[[#This Row],[Планируемые]]-Расходы28[[#This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Расходы28[[#This Row],[Планируемые]]-Расходы28[[#This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Расходы28[[#This Row],[Планируемые]]-Расходы28[[#This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Расходы28[[#This Row],[Планируемые]]-Расходы28[[#This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Расходы28[[#This Row],[Планируемые]]-Расходы28[[#This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Расходы28[[#This Row],[Планируемые]]-Расходы28[[#This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Расходы28[[#This Row],[Планируемые]]-Расходы28[[#This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Расходы28[[#This Row],[Планируемые]]-Расходы28[[#This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Расходы28[[#This Row],[Планируемые]]-Расходы28[[#This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Расходы28[[#This Row],[Планируемые]]-Расходы28[[#This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Расходы28[[#This Row],[Планируемые]]-Расходы28[[#This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Расходы28[[#This Row],[Планируемые]]-Расходы28[[#This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Расходы28[[#This Row],[Планируемые]]-Расходы28[[#This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Расходы28[[#This Row],[Планируемые]]-Расходы28[[#This Row],[Фактические]]</f>
        <v>0</v>
      </c>
    </row>
    <row r="49" spans="2:5" x14ac:dyDescent="0.35">
      <c r="B49" s="12" t="s">
        <v>30</v>
      </c>
      <c r="C49" s="13">
        <f>SUBTOTAL(109,Расходы28[Планируемые])</f>
        <v>0</v>
      </c>
      <c r="D49" s="13">
        <f>SUBTOTAL(109,Расходы28[Фактические])</f>
        <v>0</v>
      </c>
      <c r="E49" s="13">
        <f>SUBTOTAL(109,Расходы28[Отклонение])</f>
        <v>0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D575291-1682-4293-BA15-9231102DB262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2" id="{05C19E53-407B-49AD-BA4D-04D4AF44CADB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3" id="{B84F296D-135B-4DF7-A9B2-E2BF48FEAA5D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2300-5649-43A0-A327-F83112EFA398}">
  <dimension ref="B1:E49"/>
  <sheetViews>
    <sheetView showGridLines="0" zoomScale="85" zoomScaleNormal="85" workbookViewId="0">
      <selection activeCell="B3" sqref="B3"/>
    </sheetView>
  </sheetViews>
  <sheetFormatPr defaultColWidth="8.7265625" defaultRowHeight="17.399999999999999" x14ac:dyDescent="0.35"/>
  <cols>
    <col min="1" max="1" width="2.26953125" customWidth="1"/>
    <col min="2" max="2" width="51" customWidth="1"/>
    <col min="3" max="3" width="18" customWidth="1"/>
    <col min="4" max="5" width="14.26953125" style="4" customWidth="1"/>
    <col min="6" max="6" width="3.7265625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9" t="s">
        <v>40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1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Доходы30[[#Totals],[Планируемые]]</f>
        <v>0</v>
      </c>
      <c r="D15" s="4">
        <f>Доходы30[[#Totals],[Фактические]]</f>
        <v>0</v>
      </c>
      <c r="E15" s="13">
        <f>Доходы30[[#Totals],[Отклонение]]</f>
        <v>0</v>
      </c>
    </row>
    <row r="16" spans="2:5" x14ac:dyDescent="0.35">
      <c r="B16" s="12" t="s">
        <v>3</v>
      </c>
      <c r="C16" s="4">
        <f>Расходы31[[#Totals],[Планируемые]]</f>
        <v>0</v>
      </c>
      <c r="D16" s="4">
        <f>Расходы31[[#Totals],[Фактические]]</f>
        <v>0</v>
      </c>
      <c r="E16" s="13">
        <f>Расходы31[[#Totals],[Отклонение]]</f>
        <v>0</v>
      </c>
    </row>
    <row r="17" spans="2:5" x14ac:dyDescent="0.35">
      <c r="B17" s="12" t="s">
        <v>4</v>
      </c>
      <c r="C17" s="13">
        <f>C15-C16</f>
        <v>0</v>
      </c>
      <c r="D17" s="13">
        <f>D15-D16</f>
        <v>0</v>
      </c>
      <c r="E17" s="13">
        <f>SUBTOTAL(109,Движение_денежных_средств29[Отклонение])</f>
        <v>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Доходы30[[#This Row],[Фактические]]-Доходы30[[#This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Доходы30[[#This Row],[Фактические]]-Доходы30[[#This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Доходы30[[#This Row],[Фактические]]-Доходы30[[#This Row],[Планируемые]]</f>
        <v>0</v>
      </c>
    </row>
    <row r="23" spans="2:5" x14ac:dyDescent="0.35">
      <c r="B23" s="12" t="s">
        <v>35</v>
      </c>
      <c r="C23" s="13">
        <v>0</v>
      </c>
      <c r="D23" s="13">
        <v>0</v>
      </c>
      <c r="E23" s="13">
        <f>Доходы30[[#This Row],[Фактические]]-Доходы30[[#This Row],[Планируемые]]</f>
        <v>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Доходы30[[#This Row],[Фактические]]-Доходы30[[#This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Доходы30[[#This Row],[Фактические]]-Доходы30[[#This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SUBTOTAL(109,Доходы30[Планируемые])</f>
        <v>0</v>
      </c>
      <c r="D26" s="13">
        <f>SUBTOTAL(109,Доходы30[Фактические])</f>
        <v>0</v>
      </c>
      <c r="E26" s="13">
        <f>SUBTOTAL(109,Доходы30[Отклонение])</f>
        <v>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Расходы31[[#This Row],[Планируемые]]-Расходы31[[#This Row],[Фактические]]</f>
        <v>0</v>
      </c>
    </row>
    <row r="30" spans="2:5" x14ac:dyDescent="0.35">
      <c r="B30" s="12" t="s">
        <v>11</v>
      </c>
      <c r="C30" s="13">
        <v>0</v>
      </c>
      <c r="D30" s="13">
        <v>0</v>
      </c>
      <c r="E30" s="13">
        <f>Расходы31[[#This Row],[Планируемые]]-Расходы31[[#This Row],[Фактические]]</f>
        <v>0</v>
      </c>
    </row>
    <row r="31" spans="2:5" x14ac:dyDescent="0.35">
      <c r="B31" s="12" t="s">
        <v>12</v>
      </c>
      <c r="C31" s="13">
        <v>0</v>
      </c>
      <c r="D31" s="13">
        <v>0</v>
      </c>
      <c r="E31" s="13">
        <f>Расходы31[[#This Row],[Планируемые]]-Расходы31[[#This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Расходы31[[#This Row],[Планируемые]]-Расходы31[[#This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Расходы31[[#This Row],[Планируемые]]-Расходы31[[#This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Расходы31[[#This Row],[Планируемые]]-Расходы31[[#This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Расходы31[[#This Row],[Планируемые]]-Расходы31[[#This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Расходы31[[#This Row],[Планируемые]]-Расходы31[[#This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Расходы31[[#This Row],[Планируемые]]-Расходы31[[#This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Расходы31[[#This Row],[Планируемые]]-Расходы31[[#This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Расходы31[[#This Row],[Планируемые]]-Расходы31[[#This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Расходы31[[#This Row],[Планируемые]]-Расходы31[[#This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Расходы31[[#This Row],[Планируемые]]-Расходы31[[#This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Расходы31[[#This Row],[Планируемые]]-Расходы31[[#This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Расходы31[[#This Row],[Планируемые]]-Расходы31[[#This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Расходы31[[#This Row],[Планируемые]]-Расходы31[[#This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Расходы31[[#This Row],[Планируемые]]-Расходы31[[#This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Расходы31[[#This Row],[Планируемые]]-Расходы31[[#This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Расходы31[[#This Row],[Планируемые]]-Расходы31[[#This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Расходы31[[#This Row],[Планируемые]]-Расходы31[[#This Row],[Фактические]]</f>
        <v>0</v>
      </c>
    </row>
    <row r="49" spans="2:5" x14ac:dyDescent="0.35">
      <c r="B49" s="12" t="s">
        <v>30</v>
      </c>
      <c r="C49" s="13">
        <f>SUBTOTAL(109,Расходы31[Планируемые])</f>
        <v>0</v>
      </c>
      <c r="D49" s="13">
        <f>SUBTOTAL(109,Расходы31[Фактические])</f>
        <v>0</v>
      </c>
      <c r="E49" s="13">
        <f>SUBTOTAL(109,Расходы31[Отклонение])</f>
        <v>0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FA08DF7-95E2-457F-8918-B2120EDE8C88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2" id="{4F6D172D-3C8C-4623-9571-58B280842711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3" id="{32E9B1D8-2C86-4E7F-B219-DF4539E2D985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4E12-6B92-4A5E-B622-A4FAA40B6CF8}">
  <dimension ref="B1:E49"/>
  <sheetViews>
    <sheetView showGridLines="0" zoomScale="85" zoomScaleNormal="85" workbookViewId="0">
      <selection activeCell="B3" sqref="B3"/>
    </sheetView>
  </sheetViews>
  <sheetFormatPr defaultColWidth="8.7265625" defaultRowHeight="17.399999999999999" x14ac:dyDescent="0.35"/>
  <cols>
    <col min="1" max="1" width="2.26953125" customWidth="1"/>
    <col min="2" max="2" width="51" customWidth="1"/>
    <col min="3" max="3" width="18" customWidth="1"/>
    <col min="4" max="5" width="14.26953125" style="4" customWidth="1"/>
    <col min="6" max="6" width="3.7265625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9" t="s">
        <v>39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1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Доходы33[[#Totals],[Планируемые]]</f>
        <v>0</v>
      </c>
      <c r="D15" s="4">
        <f>Доходы33[[#Totals],[Фактические]]</f>
        <v>0</v>
      </c>
      <c r="E15" s="13">
        <f>Доходы33[[#Totals],[Отклонение]]</f>
        <v>0</v>
      </c>
    </row>
    <row r="16" spans="2:5" x14ac:dyDescent="0.35">
      <c r="B16" s="12" t="s">
        <v>3</v>
      </c>
      <c r="C16" s="4">
        <f>Расходы34[[#Totals],[Планируемые]]</f>
        <v>0</v>
      </c>
      <c r="D16" s="4">
        <f>Расходы34[[#Totals],[Фактические]]</f>
        <v>0</v>
      </c>
      <c r="E16" s="13">
        <f>Расходы34[[#Totals],[Отклонение]]</f>
        <v>0</v>
      </c>
    </row>
    <row r="17" spans="2:5" x14ac:dyDescent="0.35">
      <c r="B17" s="12" t="s">
        <v>4</v>
      </c>
      <c r="C17" s="13">
        <f>C15-C16</f>
        <v>0</v>
      </c>
      <c r="D17" s="13">
        <f>D15-D16</f>
        <v>0</v>
      </c>
      <c r="E17" s="13">
        <f>SUBTOTAL(109,Движение_денежных_средств32[Отклонение])</f>
        <v>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Доходы33[[#This Row],[Фактические]]-Доходы33[[#This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Доходы33[[#This Row],[Фактические]]-Доходы33[[#This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Доходы33[[#This Row],[Фактические]]-Доходы33[[#This Row],[Планируемые]]</f>
        <v>0</v>
      </c>
    </row>
    <row r="23" spans="2:5" x14ac:dyDescent="0.35">
      <c r="B23" s="12" t="s">
        <v>35</v>
      </c>
      <c r="C23" s="13">
        <v>0</v>
      </c>
      <c r="D23" s="13">
        <v>0</v>
      </c>
      <c r="E23" s="13">
        <f>Доходы33[[#This Row],[Фактические]]-Доходы33[[#This Row],[Планируемые]]</f>
        <v>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Доходы33[[#This Row],[Фактические]]-Доходы33[[#This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Доходы33[[#This Row],[Фактические]]-Доходы33[[#This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SUBTOTAL(109,Доходы33[Планируемые])</f>
        <v>0</v>
      </c>
      <c r="D26" s="13">
        <f>SUBTOTAL(109,Доходы33[Фактические])</f>
        <v>0</v>
      </c>
      <c r="E26" s="13">
        <f>SUBTOTAL(109,Доходы33[Отклонение])</f>
        <v>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Расходы34[[#This Row],[Планируемые]]-Расходы34[[#This Row],[Фактические]]</f>
        <v>0</v>
      </c>
    </row>
    <row r="30" spans="2:5" x14ac:dyDescent="0.35">
      <c r="B30" s="12" t="s">
        <v>11</v>
      </c>
      <c r="C30" s="13">
        <v>0</v>
      </c>
      <c r="D30" s="13">
        <v>0</v>
      </c>
      <c r="E30" s="13">
        <f>Расходы34[[#This Row],[Планируемые]]-Расходы34[[#This Row],[Фактические]]</f>
        <v>0</v>
      </c>
    </row>
    <row r="31" spans="2:5" x14ac:dyDescent="0.35">
      <c r="B31" s="12" t="s">
        <v>12</v>
      </c>
      <c r="C31" s="13">
        <v>0</v>
      </c>
      <c r="D31" s="13">
        <v>0</v>
      </c>
      <c r="E31" s="13">
        <f>Расходы34[[#This Row],[Планируемые]]-Расходы34[[#This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Расходы34[[#This Row],[Планируемые]]-Расходы34[[#This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Расходы34[[#This Row],[Планируемые]]-Расходы34[[#This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Расходы34[[#This Row],[Планируемые]]-Расходы34[[#This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Расходы34[[#This Row],[Планируемые]]-Расходы34[[#This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Расходы34[[#This Row],[Планируемые]]-Расходы34[[#This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Расходы34[[#This Row],[Планируемые]]-Расходы34[[#This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Расходы34[[#This Row],[Планируемые]]-Расходы34[[#This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Расходы34[[#This Row],[Планируемые]]-Расходы34[[#This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Расходы34[[#This Row],[Планируемые]]-Расходы34[[#This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Расходы34[[#This Row],[Планируемые]]-Расходы34[[#This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Расходы34[[#This Row],[Планируемые]]-Расходы34[[#This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Расходы34[[#This Row],[Планируемые]]-Расходы34[[#This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Расходы34[[#This Row],[Планируемые]]-Расходы34[[#This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Расходы34[[#This Row],[Планируемые]]-Расходы34[[#This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Расходы34[[#This Row],[Планируемые]]-Расходы34[[#This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Расходы34[[#This Row],[Планируемые]]-Расходы34[[#This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Расходы34[[#This Row],[Планируемые]]-Расходы34[[#This Row],[Фактические]]</f>
        <v>0</v>
      </c>
    </row>
    <row r="49" spans="2:5" x14ac:dyDescent="0.35">
      <c r="B49" s="12" t="s">
        <v>30</v>
      </c>
      <c r="C49" s="13">
        <f>SUBTOTAL(109,Расходы34[Планируемые])</f>
        <v>0</v>
      </c>
      <c r="D49" s="13">
        <f>SUBTOTAL(109,Расходы34[Фактические])</f>
        <v>0</v>
      </c>
      <c r="E49" s="13">
        <f>SUBTOTAL(109,Расходы34[Отклонение])</f>
        <v>0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71F65CE-896C-426A-9F2A-119F1F0782B5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2" id="{A86A74A4-0D1F-4573-B292-3322DDF67B9C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3" id="{A88515A1-203C-4A84-A2D1-FBE32F128187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B2456-96B5-47ED-81A7-7A1C88FDFB4B}">
  <dimension ref="B1:E49"/>
  <sheetViews>
    <sheetView showGridLines="0" zoomScale="85" zoomScaleNormal="85" workbookViewId="0">
      <selection activeCell="B3" sqref="B3"/>
    </sheetView>
  </sheetViews>
  <sheetFormatPr defaultColWidth="8.7265625" defaultRowHeight="17.399999999999999" x14ac:dyDescent="0.35"/>
  <cols>
    <col min="1" max="1" width="2.26953125" customWidth="1"/>
    <col min="2" max="2" width="51" customWidth="1"/>
    <col min="3" max="3" width="18" customWidth="1"/>
    <col min="4" max="5" width="14.26953125" style="4" customWidth="1"/>
    <col min="6" max="6" width="3.7265625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9" t="s">
        <v>38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1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Доходы36[[#Totals],[Планируемые]]</f>
        <v>0</v>
      </c>
      <c r="D15" s="4">
        <f>Доходы36[[#Totals],[Фактические]]</f>
        <v>0</v>
      </c>
      <c r="E15" s="13">
        <f>Доходы36[[#Totals],[Отклонение]]</f>
        <v>0</v>
      </c>
    </row>
    <row r="16" spans="2:5" x14ac:dyDescent="0.35">
      <c r="B16" s="12" t="s">
        <v>3</v>
      </c>
      <c r="C16" s="4">
        <f>Расходы37[[#Totals],[Планируемые]]</f>
        <v>0</v>
      </c>
      <c r="D16" s="4">
        <f>Расходы37[[#Totals],[Фактические]]</f>
        <v>0</v>
      </c>
      <c r="E16" s="13">
        <f>Расходы37[[#Totals],[Отклонение]]</f>
        <v>0</v>
      </c>
    </row>
    <row r="17" spans="2:5" x14ac:dyDescent="0.35">
      <c r="B17" s="12" t="s">
        <v>4</v>
      </c>
      <c r="C17" s="13">
        <f>C15-C16</f>
        <v>0</v>
      </c>
      <c r="D17" s="13">
        <f>D15-D16</f>
        <v>0</v>
      </c>
      <c r="E17" s="13">
        <f>SUBTOTAL(109,Движение_денежных_средств35[Отклонение])</f>
        <v>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Доходы36[[#This Row],[Фактические]]-Доходы36[[#This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Доходы36[[#This Row],[Фактические]]-Доходы36[[#This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Доходы36[[#This Row],[Фактические]]-Доходы36[[#This Row],[Планируемые]]</f>
        <v>0</v>
      </c>
    </row>
    <row r="23" spans="2:5" x14ac:dyDescent="0.35">
      <c r="B23" s="12" t="s">
        <v>35</v>
      </c>
      <c r="C23" s="13">
        <v>0</v>
      </c>
      <c r="D23" s="13">
        <v>0</v>
      </c>
      <c r="E23" s="13">
        <f>Доходы36[[#This Row],[Фактические]]-Доходы36[[#This Row],[Планируемые]]</f>
        <v>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Доходы36[[#This Row],[Фактические]]-Доходы36[[#This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Доходы36[[#This Row],[Фактические]]-Доходы36[[#This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SUBTOTAL(109,Доходы36[Планируемые])</f>
        <v>0</v>
      </c>
      <c r="D26" s="13">
        <f>SUBTOTAL(109,Доходы36[Фактические])</f>
        <v>0</v>
      </c>
      <c r="E26" s="13">
        <f>SUBTOTAL(109,Доходы36[Отклонение])</f>
        <v>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Расходы37[[#This Row],[Планируемые]]-Расходы37[[#This Row],[Фактические]]</f>
        <v>0</v>
      </c>
    </row>
    <row r="30" spans="2:5" x14ac:dyDescent="0.35">
      <c r="B30" s="12" t="s">
        <v>11</v>
      </c>
      <c r="C30" s="13">
        <v>0</v>
      </c>
      <c r="D30" s="13">
        <v>0</v>
      </c>
      <c r="E30" s="13">
        <f>Расходы37[[#This Row],[Планируемые]]-Расходы37[[#This Row],[Фактические]]</f>
        <v>0</v>
      </c>
    </row>
    <row r="31" spans="2:5" x14ac:dyDescent="0.35">
      <c r="B31" s="12" t="s">
        <v>12</v>
      </c>
      <c r="C31" s="13">
        <v>0</v>
      </c>
      <c r="D31" s="13">
        <v>0</v>
      </c>
      <c r="E31" s="13">
        <f>Расходы37[[#This Row],[Планируемые]]-Расходы37[[#This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Расходы37[[#This Row],[Планируемые]]-Расходы37[[#This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Расходы37[[#This Row],[Планируемые]]-Расходы37[[#This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Расходы37[[#This Row],[Планируемые]]-Расходы37[[#This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Расходы37[[#This Row],[Планируемые]]-Расходы37[[#This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Расходы37[[#This Row],[Планируемые]]-Расходы37[[#This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Расходы37[[#This Row],[Планируемые]]-Расходы37[[#This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Расходы37[[#This Row],[Планируемые]]-Расходы37[[#This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Расходы37[[#This Row],[Планируемые]]-Расходы37[[#This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Расходы37[[#This Row],[Планируемые]]-Расходы37[[#This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Расходы37[[#This Row],[Планируемые]]-Расходы37[[#This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Расходы37[[#This Row],[Планируемые]]-Расходы37[[#This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Расходы37[[#This Row],[Планируемые]]-Расходы37[[#This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Расходы37[[#This Row],[Планируемые]]-Расходы37[[#This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Расходы37[[#This Row],[Планируемые]]-Расходы37[[#This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Расходы37[[#This Row],[Планируемые]]-Расходы37[[#This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Расходы37[[#This Row],[Планируемые]]-Расходы37[[#This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Расходы37[[#This Row],[Планируемые]]-Расходы37[[#This Row],[Фактические]]</f>
        <v>0</v>
      </c>
    </row>
    <row r="49" spans="2:5" x14ac:dyDescent="0.35">
      <c r="B49" s="12" t="s">
        <v>30</v>
      </c>
      <c r="C49" s="13">
        <f>SUBTOTAL(109,Расходы37[Планируемые])</f>
        <v>0</v>
      </c>
      <c r="D49" s="13">
        <f>SUBTOTAL(109,Расходы37[Фактические])</f>
        <v>0</v>
      </c>
      <c r="E49" s="13">
        <f>SUBTOTAL(109,Расходы37[Отклонение])</f>
        <v>0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1B95180-C878-49FF-A875-C8EA91D43846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2" id="{B221A61D-67D1-479D-B283-9F742946555E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3" id="{0F333D40-77EF-412C-AEC8-E69A48C83990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D5E3-A881-462B-A326-AD3E196CE4A3}">
  <dimension ref="A1:G39"/>
  <sheetViews>
    <sheetView showGridLines="0" tabSelected="1" zoomScaleNormal="100" workbookViewId="0">
      <selection activeCell="B15" sqref="B15:F15"/>
    </sheetView>
  </sheetViews>
  <sheetFormatPr defaultRowHeight="17.399999999999999" x14ac:dyDescent="0.35"/>
  <cols>
    <col min="3" max="3" width="31.08984375" bestFit="1" customWidth="1"/>
    <col min="4" max="4" width="2.7265625" customWidth="1"/>
    <col min="5" max="5" width="32" bestFit="1" customWidth="1"/>
    <col min="7" max="7" width="8.7265625" customWidth="1"/>
  </cols>
  <sheetData>
    <row r="1" spans="1:7" ht="25.8" x14ac:dyDescent="0.35">
      <c r="A1" s="34"/>
      <c r="B1" s="39" t="s">
        <v>62</v>
      </c>
      <c r="C1" s="39"/>
      <c r="D1" s="39"/>
      <c r="E1" s="39"/>
      <c r="F1" s="39"/>
      <c r="G1" s="35"/>
    </row>
    <row r="2" spans="1:7" x14ac:dyDescent="0.35">
      <c r="A2" s="34"/>
      <c r="B2" s="25"/>
      <c r="C2" s="29"/>
      <c r="D2" s="25"/>
      <c r="E2" s="25"/>
      <c r="G2" s="35"/>
    </row>
    <row r="3" spans="1:7" x14ac:dyDescent="0.35">
      <c r="A3" s="34"/>
      <c r="B3" s="25"/>
      <c r="C3" s="25"/>
      <c r="D3" s="25"/>
      <c r="E3" s="25"/>
      <c r="G3" s="35"/>
    </row>
    <row r="4" spans="1:7" x14ac:dyDescent="0.35">
      <c r="A4" s="34"/>
      <c r="B4" s="25"/>
      <c r="C4" s="25"/>
      <c r="D4" s="25"/>
      <c r="E4" s="25"/>
      <c r="G4" s="35"/>
    </row>
    <row r="5" spans="1:7" x14ac:dyDescent="0.35">
      <c r="A5" s="34"/>
      <c r="B5" s="25"/>
      <c r="C5" s="25"/>
      <c r="D5" s="25"/>
      <c r="G5" s="35"/>
    </row>
    <row r="6" spans="1:7" x14ac:dyDescent="0.35">
      <c r="A6" s="34"/>
      <c r="B6" s="25"/>
      <c r="C6" s="25"/>
      <c r="D6" s="25"/>
      <c r="G6" s="35"/>
    </row>
    <row r="7" spans="1:7" x14ac:dyDescent="0.35">
      <c r="A7" s="34"/>
      <c r="B7" s="25"/>
      <c r="C7" s="25"/>
      <c r="D7" s="25"/>
      <c r="E7" s="32" t="s">
        <v>63</v>
      </c>
      <c r="G7" s="35"/>
    </row>
    <row r="8" spans="1:7" ht="31.2" x14ac:dyDescent="0.35">
      <c r="A8" s="34"/>
      <c r="B8" s="25"/>
      <c r="C8" s="25"/>
      <c r="D8" s="25"/>
      <c r="E8" s="30">
        <f>'Графические данные'!E90</f>
        <v>800</v>
      </c>
      <c r="G8" s="35"/>
    </row>
    <row r="9" spans="1:7" x14ac:dyDescent="0.35">
      <c r="A9" s="34"/>
      <c r="B9" s="27"/>
      <c r="C9" s="25"/>
      <c r="D9" s="25"/>
      <c r="E9" s="33" t="s">
        <v>64</v>
      </c>
      <c r="G9" s="35"/>
    </row>
    <row r="10" spans="1:7" ht="31.2" x14ac:dyDescent="0.35">
      <c r="A10" s="34"/>
      <c r="B10" s="27"/>
      <c r="C10" s="25"/>
      <c r="D10" s="25"/>
      <c r="E10" s="31">
        <f>'Графические данные'!E91</f>
        <v>600</v>
      </c>
      <c r="G10" s="35"/>
    </row>
    <row r="11" spans="1:7" x14ac:dyDescent="0.35">
      <c r="A11" s="34"/>
      <c r="B11" s="27"/>
      <c r="C11" s="25"/>
      <c r="D11" s="25"/>
      <c r="E11" s="36" t="s">
        <v>65</v>
      </c>
      <c r="G11" s="35"/>
    </row>
    <row r="12" spans="1:7" ht="31.2" x14ac:dyDescent="0.35">
      <c r="A12" s="34"/>
      <c r="B12" s="27"/>
      <c r="C12" s="25"/>
      <c r="D12" s="25"/>
      <c r="E12" s="37">
        <f>'Графические данные'!E89</f>
        <v>200</v>
      </c>
      <c r="G12" s="35"/>
    </row>
    <row r="13" spans="1:7" x14ac:dyDescent="0.35">
      <c r="A13" s="34"/>
      <c r="B13" s="27"/>
      <c r="C13" s="25"/>
      <c r="D13" s="25"/>
      <c r="E13" s="28"/>
      <c r="G13" s="35"/>
    </row>
    <row r="14" spans="1:7" x14ac:dyDescent="0.35">
      <c r="A14" s="34"/>
      <c r="B14" s="27"/>
      <c r="C14" s="25"/>
      <c r="D14" s="25"/>
      <c r="E14" s="28"/>
      <c r="G14" s="35"/>
    </row>
    <row r="15" spans="1:7" ht="25.8" x14ac:dyDescent="0.35">
      <c r="A15" s="34"/>
      <c r="B15" s="39" t="s">
        <v>66</v>
      </c>
      <c r="C15" s="39"/>
      <c r="D15" s="39"/>
      <c r="E15" s="39"/>
      <c r="F15" s="39"/>
      <c r="G15" s="35"/>
    </row>
    <row r="16" spans="1:7" x14ac:dyDescent="0.35">
      <c r="A16" s="35"/>
      <c r="G16" s="35"/>
    </row>
    <row r="17" spans="1:7" x14ac:dyDescent="0.35">
      <c r="A17" s="35"/>
      <c r="G17" s="35"/>
    </row>
    <row r="18" spans="1:7" x14ac:dyDescent="0.35">
      <c r="A18" s="35"/>
      <c r="G18" s="35"/>
    </row>
    <row r="19" spans="1:7" x14ac:dyDescent="0.35">
      <c r="A19" s="35"/>
      <c r="G19" s="35"/>
    </row>
    <row r="20" spans="1:7" x14ac:dyDescent="0.35">
      <c r="A20" s="35"/>
      <c r="G20" s="35"/>
    </row>
    <row r="21" spans="1:7" x14ac:dyDescent="0.35">
      <c r="A21" s="35"/>
      <c r="G21" s="35"/>
    </row>
    <row r="22" spans="1:7" x14ac:dyDescent="0.35">
      <c r="A22" s="35"/>
      <c r="G22" s="35"/>
    </row>
    <row r="23" spans="1:7" x14ac:dyDescent="0.35">
      <c r="A23" s="35"/>
      <c r="G23" s="35"/>
    </row>
    <row r="24" spans="1:7" x14ac:dyDescent="0.35">
      <c r="A24" s="35"/>
      <c r="G24" s="35"/>
    </row>
    <row r="25" spans="1:7" x14ac:dyDescent="0.35">
      <c r="A25" s="35"/>
      <c r="G25" s="35"/>
    </row>
    <row r="26" spans="1:7" x14ac:dyDescent="0.35">
      <c r="A26" s="35"/>
      <c r="G26" s="35"/>
    </row>
    <row r="27" spans="1:7" x14ac:dyDescent="0.35">
      <c r="A27" s="35"/>
      <c r="G27" s="35"/>
    </row>
    <row r="28" spans="1:7" x14ac:dyDescent="0.35">
      <c r="A28" s="35"/>
      <c r="G28" s="35"/>
    </row>
    <row r="29" spans="1:7" x14ac:dyDescent="0.35">
      <c r="A29" s="35"/>
      <c r="G29" s="35"/>
    </row>
    <row r="30" spans="1:7" x14ac:dyDescent="0.35">
      <c r="A30" s="35"/>
      <c r="G30" s="35"/>
    </row>
    <row r="31" spans="1:7" x14ac:dyDescent="0.35">
      <c r="A31" s="35"/>
      <c r="G31" s="35"/>
    </row>
    <row r="32" spans="1:7" x14ac:dyDescent="0.35">
      <c r="A32" s="35"/>
      <c r="G32" s="35"/>
    </row>
    <row r="33" spans="1:7" x14ac:dyDescent="0.35">
      <c r="A33" s="35"/>
      <c r="G33" s="35"/>
    </row>
    <row r="34" spans="1:7" x14ac:dyDescent="0.35">
      <c r="A34" s="35"/>
      <c r="G34" s="35"/>
    </row>
    <row r="35" spans="1:7" x14ac:dyDescent="0.35">
      <c r="A35" s="35"/>
      <c r="G35" s="35"/>
    </row>
    <row r="36" spans="1:7" x14ac:dyDescent="0.35">
      <c r="A36" s="35"/>
      <c r="G36" s="35"/>
    </row>
    <row r="37" spans="1:7" x14ac:dyDescent="0.35">
      <c r="A37" s="35"/>
      <c r="G37" s="35"/>
    </row>
    <row r="38" spans="1:7" x14ac:dyDescent="0.35">
      <c r="A38" s="35"/>
      <c r="G38" s="35"/>
    </row>
    <row r="39" spans="1:7" x14ac:dyDescent="0.35">
      <c r="A39" s="35"/>
      <c r="B39" s="35"/>
      <c r="C39" s="35"/>
      <c r="D39" s="35"/>
      <c r="E39" s="35"/>
      <c r="F39" s="35"/>
      <c r="G39" s="35"/>
    </row>
  </sheetData>
  <mergeCells count="2">
    <mergeCell ref="B15:F15"/>
    <mergeCell ref="B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E55"/>
  <sheetViews>
    <sheetView showGridLines="0" zoomScale="85" zoomScaleNormal="85" zoomScalePageLayoutView="70" workbookViewId="0">
      <selection activeCell="B1" sqref="B1"/>
    </sheetView>
  </sheetViews>
  <sheetFormatPr defaultColWidth="8.7265625" defaultRowHeight="17.399999999999999" x14ac:dyDescent="0.35"/>
  <cols>
    <col min="1" max="1" width="2.26953125" customWidth="1"/>
    <col min="2" max="2" width="53.54296875" bestFit="1" customWidth="1"/>
    <col min="3" max="3" width="18" customWidth="1"/>
    <col min="4" max="5" width="14.26953125" style="4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9" t="s">
        <v>59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24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Доходы[[#Totals],[Планируемые]]</f>
        <v>600</v>
      </c>
      <c r="D15" s="4">
        <f>Доходы[[#Totals],[Фактические]]</f>
        <v>800</v>
      </c>
      <c r="E15" s="13">
        <f>Доходы[[#Totals],[Отклонение]]</f>
        <v>200</v>
      </c>
    </row>
    <row r="16" spans="2:5" x14ac:dyDescent="0.35">
      <c r="B16" s="12" t="s">
        <v>3</v>
      </c>
      <c r="C16" s="4">
        <f>Расходы[[#Totals],[Планируемые]]</f>
        <v>500</v>
      </c>
      <c r="D16" s="4">
        <f>Расходы[[#Totals],[Фактические]]</f>
        <v>600</v>
      </c>
      <c r="E16" s="13">
        <f>Расходы[[#Totals],[Отклонение]]</f>
        <v>-100</v>
      </c>
    </row>
    <row r="17" spans="2:5" x14ac:dyDescent="0.35">
      <c r="B17" s="12" t="s">
        <v>4</v>
      </c>
      <c r="C17" s="13">
        <f>C15-C16</f>
        <v>100</v>
      </c>
      <c r="D17" s="13">
        <f>D15-D16</f>
        <v>200</v>
      </c>
      <c r="E17" s="13">
        <f>SUBTOTAL(109,Движение_денежных_средств[Отклонение])</f>
        <v>100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Доходы[[#This Row],[Фактические]]-Доходы[[#This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Доходы[[#This Row],[Фактические]]-Доходы[[#This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Доходы[[#This Row],[Фактические]]-Доходы[[#This Row],[Планируемые]]</f>
        <v>0</v>
      </c>
    </row>
    <row r="23" spans="2:5" x14ac:dyDescent="0.35">
      <c r="B23" s="12" t="s">
        <v>35</v>
      </c>
      <c r="C23" s="13">
        <v>600</v>
      </c>
      <c r="D23" s="13">
        <v>800</v>
      </c>
      <c r="E23" s="13">
        <f>Доходы[[#This Row],[Фактические]]-Доходы[[#This Row],[Планируемые]]</f>
        <v>200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Доходы[[#This Row],[Фактические]]-Доходы[[#This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Доходы[[#This Row],[Фактические]]-Доходы[[#This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SUBTOTAL(109,Доходы[Планируемые])</f>
        <v>600</v>
      </c>
      <c r="D26" s="13">
        <f>SUBTOTAL(109,Доходы[Фактические])</f>
        <v>800</v>
      </c>
      <c r="E26" s="13">
        <f>SUBTOTAL(109,Доходы[Отклонение])</f>
        <v>200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Расходы[[#This Row],[Планируемые]]-Расходы[[#This Row],[Фактические]]</f>
        <v>0</v>
      </c>
    </row>
    <row r="30" spans="2:5" x14ac:dyDescent="0.35">
      <c r="B30" s="12" t="s">
        <v>11</v>
      </c>
      <c r="C30" s="13">
        <v>500</v>
      </c>
      <c r="D30" s="13">
        <v>600</v>
      </c>
      <c r="E30" s="13">
        <f>Расходы[[#This Row],[Планируемые]]-Расходы[[#This Row],[Фактические]]</f>
        <v>-100</v>
      </c>
    </row>
    <row r="31" spans="2:5" x14ac:dyDescent="0.35">
      <c r="B31" s="12" t="s">
        <v>12</v>
      </c>
      <c r="C31" s="13">
        <v>0</v>
      </c>
      <c r="D31" s="13">
        <v>0</v>
      </c>
      <c r="E31" s="13">
        <f>Расходы[[#This Row],[Планируемые]]-Расходы[[#This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Расходы[[#This Row],[Планируемые]]-Расходы[[#This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Расходы[[#This Row],[Планируемые]]-Расходы[[#This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Расходы[[#This Row],[Планируемые]]-Расходы[[#This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Расходы[[#This Row],[Планируемые]]-Расходы[[#This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Расходы[[#This Row],[Планируемые]]-Расходы[[#This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Расходы[[#This Row],[Планируемые]]-Расходы[[#This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Расходы[[#This Row],[Планируемые]]-Расходы[[#This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Расходы[[#This Row],[Планируемые]]-Расходы[[#This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Расходы[[#This Row],[Планируемые]]-Расходы[[#This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Расходы[[#This Row],[Планируемые]]-Расходы[[#This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Расходы[[#This Row],[Планируемые]]-Расходы[[#This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Расходы[[#This Row],[Планируемые]]-Расходы[[#This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Расходы[[#This Row],[Планируемые]]-Расходы[[#This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Расходы[[#This Row],[Планируемые]]-Расходы[[#This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Расходы[[#This Row],[Планируемые]]-Расходы[[#This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Расходы[[#This Row],[Планируемые]]-Расходы[[#This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Расходы[[#This Row],[Планируемые]]-Расходы[[#This Row],[Фактические]]</f>
        <v>0</v>
      </c>
    </row>
    <row r="49" spans="2:5" x14ac:dyDescent="0.35">
      <c r="B49" s="12" t="s">
        <v>30</v>
      </c>
      <c r="C49" s="13">
        <f>SUBTOTAL(109,Расходы[Планируемые])</f>
        <v>500</v>
      </c>
      <c r="D49" s="13">
        <f>SUBTOTAL(109,Расходы[Фактические])</f>
        <v>600</v>
      </c>
      <c r="E49" s="13">
        <f>SUBTOTAL(109,Расходы[Отклонение])</f>
        <v>-100</v>
      </c>
    </row>
    <row r="55" spans="2:5" x14ac:dyDescent="0.35">
      <c r="C55" s="4"/>
      <c r="E55"/>
    </row>
  </sheetData>
  <phoneticPr fontId="12" type="noConversion"/>
  <printOptions horizontalCentered="1"/>
  <pageMargins left="0.4" right="0.4" top="0.4" bottom="0.4" header="0.25" footer="0.25"/>
  <pageSetup paperSize="9" scale="77" fitToHeight="0" orientation="portrait" r:id="rId1"/>
  <headerFooter differentFirst="1">
    <oddFooter>&amp;CPage &amp;P of &amp;N</oddFooter>
  </headerFooter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70BE87D5-6E62-4533-88AE-53E31B3F506A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13" id="{C714391E-7AC2-47BB-A40C-EB62AF118C1E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14" id="{D5790763-7D03-40F8-9AD3-2A345FE0F3B9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B7CF-E25F-419B-B645-9AACDE316BA5}">
  <sheetPr>
    <pageSetUpPr autoPageBreaks="0"/>
  </sheetPr>
  <dimension ref="B1:E49"/>
  <sheetViews>
    <sheetView showGridLines="0" showRuler="0" zoomScale="85" zoomScaleNormal="85" zoomScalePageLayoutView="70" workbookViewId="0">
      <selection activeCell="B3" sqref="B3"/>
    </sheetView>
  </sheetViews>
  <sheetFormatPr defaultColWidth="8.7265625" defaultRowHeight="17.399999999999999" x14ac:dyDescent="0.35"/>
  <cols>
    <col min="1" max="1" width="2.26953125" customWidth="1"/>
    <col min="2" max="2" width="51" customWidth="1"/>
    <col min="3" max="3" width="18" customWidth="1"/>
    <col min="4" max="5" width="14.26953125" style="4" customWidth="1"/>
    <col min="6" max="6" width="3.7265625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9" t="s">
        <v>46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1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Доходы6[[#Totals],[Планируемые]]</f>
        <v>0</v>
      </c>
      <c r="D15" s="4">
        <f>Доходы6[[#Totals],[Фактические]]</f>
        <v>0</v>
      </c>
      <c r="E15" s="13">
        <f>Доходы6[[#Totals],[Отклонение]]</f>
        <v>0</v>
      </c>
    </row>
    <row r="16" spans="2:5" x14ac:dyDescent="0.35">
      <c r="B16" s="12" t="s">
        <v>3</v>
      </c>
      <c r="C16" s="4">
        <f>Расходы7[[#Totals],[Планируемые]]</f>
        <v>0</v>
      </c>
      <c r="D16" s="4">
        <f>Расходы7[[#Totals],[Фактические]]</f>
        <v>0</v>
      </c>
      <c r="E16" s="13">
        <f>Расходы7[[#Totals],[Отклонение]]</f>
        <v>0</v>
      </c>
    </row>
    <row r="17" spans="2:5" x14ac:dyDescent="0.35">
      <c r="B17" s="12" t="s">
        <v>4</v>
      </c>
      <c r="C17" s="13">
        <f>C15-C16</f>
        <v>0</v>
      </c>
      <c r="D17" s="13">
        <f>D15-D16</f>
        <v>0</v>
      </c>
      <c r="E17" s="13">
        <f>SUBTOTAL(109,Движение_денежных_средств5[Отклонение])</f>
        <v>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Доходы6[[#This Row],[Фактические]]-Доходы6[[#This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Доходы6[[#This Row],[Фактические]]-Доходы6[[#This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Доходы6[[#This Row],[Фактические]]-Доходы6[[#This Row],[Планируемые]]</f>
        <v>0</v>
      </c>
    </row>
    <row r="23" spans="2:5" x14ac:dyDescent="0.35">
      <c r="B23" s="12" t="s">
        <v>35</v>
      </c>
      <c r="C23" s="13">
        <v>0</v>
      </c>
      <c r="D23" s="13">
        <v>0</v>
      </c>
      <c r="E23" s="13">
        <f>Доходы6[[#This Row],[Фактические]]-Доходы6[[#This Row],[Планируемые]]</f>
        <v>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Доходы6[[#This Row],[Фактические]]-Доходы6[[#This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Доходы6[[#This Row],[Фактические]]-Доходы6[[#This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SUBTOTAL(109,Доходы6[Планируемые])</f>
        <v>0</v>
      </c>
      <c r="D26" s="13">
        <f>SUBTOTAL(109,Доходы6[Фактические])</f>
        <v>0</v>
      </c>
      <c r="E26" s="13">
        <f>SUBTOTAL(109,Доходы6[Отклонение])</f>
        <v>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Расходы7[[#This Row],[Планируемые]]-Расходы7[[#This Row],[Фактические]]</f>
        <v>0</v>
      </c>
    </row>
    <row r="30" spans="2:5" x14ac:dyDescent="0.35">
      <c r="B30" s="12" t="s">
        <v>11</v>
      </c>
      <c r="C30" s="13">
        <v>0</v>
      </c>
      <c r="D30" s="13">
        <v>0</v>
      </c>
      <c r="E30" s="13">
        <f>Расходы7[[#This Row],[Планируемые]]-Расходы7[[#This Row],[Фактические]]</f>
        <v>0</v>
      </c>
    </row>
    <row r="31" spans="2:5" x14ac:dyDescent="0.35">
      <c r="B31" s="12" t="s">
        <v>12</v>
      </c>
      <c r="C31" s="13">
        <v>0</v>
      </c>
      <c r="D31" s="13">
        <v>0</v>
      </c>
      <c r="E31" s="13">
        <f>Расходы7[[#This Row],[Планируемые]]-Расходы7[[#This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Расходы7[[#This Row],[Планируемые]]-Расходы7[[#This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Расходы7[[#This Row],[Планируемые]]-Расходы7[[#This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Расходы7[[#This Row],[Планируемые]]-Расходы7[[#This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Расходы7[[#This Row],[Планируемые]]-Расходы7[[#This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Расходы7[[#This Row],[Планируемые]]-Расходы7[[#This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Расходы7[[#This Row],[Планируемые]]-Расходы7[[#This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Расходы7[[#This Row],[Планируемые]]-Расходы7[[#This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Расходы7[[#This Row],[Планируемые]]-Расходы7[[#This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Расходы7[[#This Row],[Планируемые]]-Расходы7[[#This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Расходы7[[#This Row],[Планируемые]]-Расходы7[[#This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Расходы7[[#This Row],[Планируемые]]-Расходы7[[#This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Расходы7[[#This Row],[Планируемые]]-Расходы7[[#This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Расходы7[[#This Row],[Планируемые]]-Расходы7[[#This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Расходы7[[#This Row],[Планируемые]]-Расходы7[[#This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Расходы7[[#This Row],[Планируемые]]-Расходы7[[#This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Расходы7[[#This Row],[Планируемые]]-Расходы7[[#This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Расходы7[[#This Row],[Планируемые]]-Расходы7[[#This Row],[Фактические]]</f>
        <v>0</v>
      </c>
    </row>
    <row r="49" spans="2:5" x14ac:dyDescent="0.35">
      <c r="B49" s="12" t="s">
        <v>30</v>
      </c>
      <c r="C49" s="13">
        <f>SUBTOTAL(109,Расходы7[Планируемые])</f>
        <v>0</v>
      </c>
      <c r="D49" s="13">
        <f>SUBTOTAL(109,Расходы7[Фактические])</f>
        <v>0</v>
      </c>
      <c r="E49" s="13">
        <f>SUBTOTAL(109,Расходы7[Отклонение])</f>
        <v>0</v>
      </c>
    </row>
  </sheetData>
  <pageMargins left="0.7" right="0.7" top="0.75" bottom="0.75" header="0.3" footer="0.3"/>
  <pageSetup paperSize="9" orientation="portrait" verticalDpi="0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37CBFD3-5E0A-40E4-A6D5-89712499A92C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2" id="{99847D14-149B-4F16-99F1-E6A5184DE4ED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3" id="{1972C329-F5EB-41BC-BFCF-7CD714A1439B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DD2A-A0C9-4F66-9288-0829B5C7D54A}">
  <dimension ref="B1:E49"/>
  <sheetViews>
    <sheetView showGridLines="0" zoomScale="85" zoomScaleNormal="85" workbookViewId="0">
      <selection activeCell="B3" sqref="B3"/>
    </sheetView>
  </sheetViews>
  <sheetFormatPr defaultColWidth="8.7265625" defaultRowHeight="17.399999999999999" x14ac:dyDescent="0.35"/>
  <cols>
    <col min="1" max="1" width="2.26953125" customWidth="1"/>
    <col min="2" max="2" width="51" customWidth="1"/>
    <col min="3" max="3" width="18" customWidth="1"/>
    <col min="4" max="5" width="14.26953125" style="4" customWidth="1"/>
    <col min="6" max="6" width="3.7265625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9" t="s">
        <v>45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1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Доходы9[[#Totals],[Планируемые]]</f>
        <v>0</v>
      </c>
      <c r="D15" s="4">
        <f>Доходы9[[#Totals],[Фактические]]</f>
        <v>0</v>
      </c>
      <c r="E15" s="13">
        <f>Доходы9[[#Totals],[Отклонение]]</f>
        <v>0</v>
      </c>
    </row>
    <row r="16" spans="2:5" x14ac:dyDescent="0.35">
      <c r="B16" s="12" t="s">
        <v>3</v>
      </c>
      <c r="C16" s="4">
        <f>Расходы10[[#Totals],[Планируемые]]</f>
        <v>0</v>
      </c>
      <c r="D16" s="4">
        <f>Расходы10[[#Totals],[Фактические]]</f>
        <v>0</v>
      </c>
      <c r="E16" s="13">
        <f>Расходы10[[#Totals],[Отклонение]]</f>
        <v>0</v>
      </c>
    </row>
    <row r="17" spans="2:5" x14ac:dyDescent="0.35">
      <c r="B17" s="12" t="s">
        <v>4</v>
      </c>
      <c r="C17" s="13">
        <f>C15-C16</f>
        <v>0</v>
      </c>
      <c r="D17" s="13">
        <f>D15-D16</f>
        <v>0</v>
      </c>
      <c r="E17" s="13">
        <f>SUBTOTAL(109,Движение_денежных_средств8[Отклонение])</f>
        <v>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Доходы9[[#This Row],[Фактические]]-Доходы9[[#This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Доходы9[[#This Row],[Фактические]]-Доходы9[[#This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Доходы9[[#This Row],[Фактические]]-Доходы9[[#This Row],[Планируемые]]</f>
        <v>0</v>
      </c>
    </row>
    <row r="23" spans="2:5" x14ac:dyDescent="0.35">
      <c r="B23" s="12" t="s">
        <v>35</v>
      </c>
      <c r="C23" s="13">
        <v>0</v>
      </c>
      <c r="D23" s="13">
        <v>0</v>
      </c>
      <c r="E23" s="13">
        <f>Доходы9[[#This Row],[Фактические]]-Доходы9[[#This Row],[Планируемые]]</f>
        <v>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Доходы9[[#This Row],[Фактические]]-Доходы9[[#This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Доходы9[[#This Row],[Фактические]]-Доходы9[[#This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SUBTOTAL(109,Доходы9[Планируемые])</f>
        <v>0</v>
      </c>
      <c r="D26" s="13">
        <f>SUBTOTAL(109,Доходы9[Фактические])</f>
        <v>0</v>
      </c>
      <c r="E26" s="13">
        <f>SUBTOTAL(109,Доходы9[Отклонение])</f>
        <v>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Расходы10[[#This Row],[Планируемые]]-Расходы10[[#This Row],[Фактические]]</f>
        <v>0</v>
      </c>
    </row>
    <row r="30" spans="2:5" x14ac:dyDescent="0.35">
      <c r="B30" s="12" t="s">
        <v>11</v>
      </c>
      <c r="C30" s="13">
        <v>0</v>
      </c>
      <c r="D30" s="13">
        <v>0</v>
      </c>
      <c r="E30" s="13">
        <f>Расходы10[[#This Row],[Планируемые]]-Расходы10[[#This Row],[Фактические]]</f>
        <v>0</v>
      </c>
    </row>
    <row r="31" spans="2:5" x14ac:dyDescent="0.35">
      <c r="B31" s="12" t="s">
        <v>12</v>
      </c>
      <c r="C31" s="13">
        <v>0</v>
      </c>
      <c r="D31" s="13">
        <v>0</v>
      </c>
      <c r="E31" s="13">
        <f>Расходы10[[#This Row],[Планируемые]]-Расходы10[[#This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Расходы10[[#This Row],[Планируемые]]-Расходы10[[#This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Расходы10[[#This Row],[Планируемые]]-Расходы10[[#This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Расходы10[[#This Row],[Планируемые]]-Расходы10[[#This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Расходы10[[#This Row],[Планируемые]]-Расходы10[[#This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Расходы10[[#This Row],[Планируемые]]-Расходы10[[#This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Расходы10[[#This Row],[Планируемые]]-Расходы10[[#This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Расходы10[[#This Row],[Планируемые]]-Расходы10[[#This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Расходы10[[#This Row],[Планируемые]]-Расходы10[[#This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Расходы10[[#This Row],[Планируемые]]-Расходы10[[#This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Расходы10[[#This Row],[Планируемые]]-Расходы10[[#This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Расходы10[[#This Row],[Планируемые]]-Расходы10[[#This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Расходы10[[#This Row],[Планируемые]]-Расходы10[[#This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Расходы10[[#This Row],[Планируемые]]-Расходы10[[#This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Расходы10[[#This Row],[Планируемые]]-Расходы10[[#This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Расходы10[[#This Row],[Планируемые]]-Расходы10[[#This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Расходы10[[#This Row],[Планируемые]]-Расходы10[[#This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Расходы10[[#This Row],[Планируемые]]-Расходы10[[#This Row],[Фактические]]</f>
        <v>0</v>
      </c>
    </row>
    <row r="49" spans="2:5" x14ac:dyDescent="0.35">
      <c r="B49" s="12" t="s">
        <v>30</v>
      </c>
      <c r="C49" s="13">
        <f>SUBTOTAL(109,Расходы10[Планируемые])</f>
        <v>0</v>
      </c>
      <c r="D49" s="13">
        <f>SUBTOTAL(109,Расходы10[Фактические])</f>
        <v>0</v>
      </c>
      <c r="E49" s="13">
        <f>SUBTOTAL(109,Расходы10[Отклонение])</f>
        <v>0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EB8537E-FB07-4712-A04F-7B8E8470959D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2" id="{2A139B17-479F-43B7-8953-20BA1BC5118D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3" id="{7E16D6EB-B60E-45FE-8DF3-A8BDCFD576F7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47B7-6C6E-456E-A9ED-69653BBC2F2B}">
  <dimension ref="B1:E49"/>
  <sheetViews>
    <sheetView showGridLines="0" zoomScale="85" zoomScaleNormal="85" workbookViewId="0">
      <selection activeCell="B3" sqref="B3"/>
    </sheetView>
  </sheetViews>
  <sheetFormatPr defaultColWidth="8.7265625" defaultRowHeight="17.399999999999999" x14ac:dyDescent="0.35"/>
  <cols>
    <col min="1" max="1" width="2.26953125" customWidth="1"/>
    <col min="2" max="2" width="51" customWidth="1"/>
    <col min="3" max="3" width="18" customWidth="1"/>
    <col min="4" max="5" width="14.26953125" style="4" customWidth="1"/>
    <col min="6" max="6" width="3.7265625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9" t="s">
        <v>37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1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Доходы12[[#Totals],[Планируемые]]</f>
        <v>0</v>
      </c>
      <c r="D15" s="4">
        <f>Доходы12[[#Totals],[Фактические]]</f>
        <v>0</v>
      </c>
      <c r="E15" s="13">
        <f>Доходы12[[#Totals],[Отклонение]]</f>
        <v>0</v>
      </c>
    </row>
    <row r="16" spans="2:5" x14ac:dyDescent="0.35">
      <c r="B16" s="12" t="s">
        <v>3</v>
      </c>
      <c r="C16" s="4">
        <f>Расходы13[[#Totals],[Планируемые]]</f>
        <v>0</v>
      </c>
      <c r="D16" s="4">
        <f>Расходы13[[#Totals],[Фактические]]</f>
        <v>0</v>
      </c>
      <c r="E16" s="13">
        <f>Расходы13[[#Totals],[Отклонение]]</f>
        <v>0</v>
      </c>
    </row>
    <row r="17" spans="2:5" x14ac:dyDescent="0.35">
      <c r="B17" s="12" t="s">
        <v>4</v>
      </c>
      <c r="C17" s="13">
        <f>C15-C16</f>
        <v>0</v>
      </c>
      <c r="D17" s="13">
        <f>D15-D16</f>
        <v>0</v>
      </c>
      <c r="E17" s="13">
        <f>SUBTOTAL(109,Движение_денежных_средств11[Отклонение])</f>
        <v>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Доходы12[[#This Row],[Фактические]]-Доходы12[[#This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Доходы12[[#This Row],[Фактические]]-Доходы12[[#This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Доходы12[[#This Row],[Фактические]]-Доходы12[[#This Row],[Планируемые]]</f>
        <v>0</v>
      </c>
    </row>
    <row r="23" spans="2:5" x14ac:dyDescent="0.35">
      <c r="B23" s="12" t="s">
        <v>35</v>
      </c>
      <c r="C23" s="13">
        <v>0</v>
      </c>
      <c r="D23" s="13">
        <v>0</v>
      </c>
      <c r="E23" s="13">
        <f>Доходы12[[#This Row],[Фактические]]-Доходы12[[#This Row],[Планируемые]]</f>
        <v>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Доходы12[[#This Row],[Фактические]]-Доходы12[[#This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Доходы12[[#This Row],[Фактические]]-Доходы12[[#This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SUBTOTAL(109,Доходы12[Планируемые])</f>
        <v>0</v>
      </c>
      <c r="D26" s="13">
        <f>SUBTOTAL(109,Доходы12[Фактические])</f>
        <v>0</v>
      </c>
      <c r="E26" s="13">
        <f>SUBTOTAL(109,Доходы12[Отклонение])</f>
        <v>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Расходы13[[#This Row],[Планируемые]]-Расходы13[[#This Row],[Фактические]]</f>
        <v>0</v>
      </c>
    </row>
    <row r="30" spans="2:5" x14ac:dyDescent="0.35">
      <c r="B30" s="12" t="s">
        <v>11</v>
      </c>
      <c r="C30" s="13">
        <v>0</v>
      </c>
      <c r="D30" s="13">
        <v>0</v>
      </c>
      <c r="E30" s="13">
        <f>Расходы13[[#This Row],[Планируемые]]-Расходы13[[#This Row],[Фактические]]</f>
        <v>0</v>
      </c>
    </row>
    <row r="31" spans="2:5" x14ac:dyDescent="0.35">
      <c r="B31" s="12" t="s">
        <v>12</v>
      </c>
      <c r="C31" s="13">
        <v>0</v>
      </c>
      <c r="D31" s="13">
        <v>0</v>
      </c>
      <c r="E31" s="13">
        <f>Расходы13[[#This Row],[Планируемые]]-Расходы13[[#This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Расходы13[[#This Row],[Планируемые]]-Расходы13[[#This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Расходы13[[#This Row],[Планируемые]]-Расходы13[[#This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Расходы13[[#This Row],[Планируемые]]-Расходы13[[#This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Расходы13[[#This Row],[Планируемые]]-Расходы13[[#This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Расходы13[[#This Row],[Планируемые]]-Расходы13[[#This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Расходы13[[#This Row],[Планируемые]]-Расходы13[[#This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Расходы13[[#This Row],[Планируемые]]-Расходы13[[#This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Расходы13[[#This Row],[Планируемые]]-Расходы13[[#This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Расходы13[[#This Row],[Планируемые]]-Расходы13[[#This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Расходы13[[#This Row],[Планируемые]]-Расходы13[[#This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Расходы13[[#This Row],[Планируемые]]-Расходы13[[#This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Расходы13[[#This Row],[Планируемые]]-Расходы13[[#This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Расходы13[[#This Row],[Планируемые]]-Расходы13[[#This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Расходы13[[#This Row],[Планируемые]]-Расходы13[[#This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Расходы13[[#This Row],[Планируемые]]-Расходы13[[#This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Расходы13[[#This Row],[Планируемые]]-Расходы13[[#This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Расходы13[[#This Row],[Планируемые]]-Расходы13[[#This Row],[Фактические]]</f>
        <v>0</v>
      </c>
    </row>
    <row r="49" spans="2:5" x14ac:dyDescent="0.35">
      <c r="B49" s="12" t="s">
        <v>30</v>
      </c>
      <c r="C49" s="13">
        <f>SUBTOTAL(109,Расходы13[Планируемые])</f>
        <v>0</v>
      </c>
      <c r="D49" s="13">
        <f>SUBTOTAL(109,Расходы13[Фактические])</f>
        <v>0</v>
      </c>
      <c r="E49" s="13">
        <f>SUBTOTAL(109,Расходы13[Отклонение])</f>
        <v>0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2DB59A9-AB48-4B12-9C94-205EC91DF782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2" id="{FD168A74-35FE-42CF-8F75-4D831C299625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3" id="{04CE34A6-748C-4DD8-816D-CA28C0DC3CC1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C088-0ADC-4AB2-9DCD-1A7E632BBCC3}">
  <dimension ref="B1:E49"/>
  <sheetViews>
    <sheetView showGridLines="0" zoomScale="85" zoomScaleNormal="85" workbookViewId="0">
      <selection activeCell="B3" sqref="B3"/>
    </sheetView>
  </sheetViews>
  <sheetFormatPr defaultColWidth="8.7265625" defaultRowHeight="17.399999999999999" x14ac:dyDescent="0.35"/>
  <cols>
    <col min="1" max="1" width="2.26953125" customWidth="1"/>
    <col min="2" max="2" width="51" customWidth="1"/>
    <col min="3" max="3" width="18" customWidth="1"/>
    <col min="4" max="5" width="14.26953125" style="4" customWidth="1"/>
    <col min="6" max="6" width="3.7265625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9" t="s">
        <v>44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1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Доходы15[[#Totals],[Планируемые]]</f>
        <v>0</v>
      </c>
      <c r="D15" s="4">
        <f>Доходы15[[#Totals],[Фактические]]</f>
        <v>0</v>
      </c>
      <c r="E15" s="13">
        <f>Доходы15[[#Totals],[Отклонение]]</f>
        <v>0</v>
      </c>
    </row>
    <row r="16" spans="2:5" x14ac:dyDescent="0.35">
      <c r="B16" s="12" t="s">
        <v>3</v>
      </c>
      <c r="C16" s="4">
        <f>Расходы16[[#Totals],[Планируемые]]</f>
        <v>0</v>
      </c>
      <c r="D16" s="4">
        <f>Расходы16[[#Totals],[Фактические]]</f>
        <v>0</v>
      </c>
      <c r="E16" s="13">
        <f>Расходы16[[#Totals],[Отклонение]]</f>
        <v>0</v>
      </c>
    </row>
    <row r="17" spans="2:5" x14ac:dyDescent="0.35">
      <c r="B17" s="12" t="s">
        <v>4</v>
      </c>
      <c r="C17" s="13">
        <f>C15-C16</f>
        <v>0</v>
      </c>
      <c r="D17" s="13">
        <f>D15-D16</f>
        <v>0</v>
      </c>
      <c r="E17" s="13">
        <f>SUBTOTAL(109,Движение_денежных_средств14[Отклонение])</f>
        <v>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Доходы15[[#This Row],[Фактические]]-Доходы15[[#This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Доходы15[[#This Row],[Фактические]]-Доходы15[[#This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Доходы15[[#This Row],[Фактические]]-Доходы15[[#This Row],[Планируемые]]</f>
        <v>0</v>
      </c>
    </row>
    <row r="23" spans="2:5" x14ac:dyDescent="0.35">
      <c r="B23" s="12" t="s">
        <v>35</v>
      </c>
      <c r="C23" s="13">
        <v>0</v>
      </c>
      <c r="D23" s="13">
        <v>0</v>
      </c>
      <c r="E23" s="13">
        <f>Доходы15[[#This Row],[Фактические]]-Доходы15[[#This Row],[Планируемые]]</f>
        <v>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Доходы15[[#This Row],[Фактические]]-Доходы15[[#This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Доходы15[[#This Row],[Фактические]]-Доходы15[[#This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SUBTOTAL(109,Доходы15[Планируемые])</f>
        <v>0</v>
      </c>
      <c r="D26" s="13">
        <f>SUBTOTAL(109,Доходы15[Фактические])</f>
        <v>0</v>
      </c>
      <c r="E26" s="13">
        <f>SUBTOTAL(109,Доходы15[Отклонение])</f>
        <v>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Расходы16[[#This Row],[Планируемые]]-Расходы16[[#This Row],[Фактические]]</f>
        <v>0</v>
      </c>
    </row>
    <row r="30" spans="2:5" x14ac:dyDescent="0.35">
      <c r="B30" s="12" t="s">
        <v>11</v>
      </c>
      <c r="C30" s="13">
        <v>0</v>
      </c>
      <c r="D30" s="13">
        <v>0</v>
      </c>
      <c r="E30" s="13">
        <f>Расходы16[[#This Row],[Планируемые]]-Расходы16[[#This Row],[Фактические]]</f>
        <v>0</v>
      </c>
    </row>
    <row r="31" spans="2:5" x14ac:dyDescent="0.35">
      <c r="B31" s="12" t="s">
        <v>12</v>
      </c>
      <c r="C31" s="13">
        <v>0</v>
      </c>
      <c r="D31" s="13">
        <v>0</v>
      </c>
      <c r="E31" s="13">
        <f>Расходы16[[#This Row],[Планируемые]]-Расходы16[[#This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Расходы16[[#This Row],[Планируемые]]-Расходы16[[#This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Расходы16[[#This Row],[Планируемые]]-Расходы16[[#This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Расходы16[[#This Row],[Планируемые]]-Расходы16[[#This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Расходы16[[#This Row],[Планируемые]]-Расходы16[[#This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Расходы16[[#This Row],[Планируемые]]-Расходы16[[#This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Расходы16[[#This Row],[Планируемые]]-Расходы16[[#This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Расходы16[[#This Row],[Планируемые]]-Расходы16[[#This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Расходы16[[#This Row],[Планируемые]]-Расходы16[[#This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Расходы16[[#This Row],[Планируемые]]-Расходы16[[#This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Расходы16[[#This Row],[Планируемые]]-Расходы16[[#This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Расходы16[[#This Row],[Планируемые]]-Расходы16[[#This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Расходы16[[#This Row],[Планируемые]]-Расходы16[[#This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Расходы16[[#This Row],[Планируемые]]-Расходы16[[#This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Расходы16[[#This Row],[Планируемые]]-Расходы16[[#This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Расходы16[[#This Row],[Планируемые]]-Расходы16[[#This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Расходы16[[#This Row],[Планируемые]]-Расходы16[[#This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Расходы16[[#This Row],[Планируемые]]-Расходы16[[#This Row],[Фактические]]</f>
        <v>0</v>
      </c>
    </row>
    <row r="49" spans="2:5" x14ac:dyDescent="0.35">
      <c r="B49" s="12" t="s">
        <v>30</v>
      </c>
      <c r="C49" s="13">
        <f>SUBTOTAL(109,Расходы16[Планируемые])</f>
        <v>0</v>
      </c>
      <c r="D49" s="13">
        <f>SUBTOTAL(109,Расходы16[Фактические])</f>
        <v>0</v>
      </c>
      <c r="E49" s="13">
        <f>SUBTOTAL(109,Расходы16[Отклонение])</f>
        <v>0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2141E0F-5594-477E-BF72-D4CADF9085C7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2" id="{F9F1BB5C-9F2A-4B99-ADCC-681CCB6C68A8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3" id="{F1611ADB-F9C7-4C18-A955-06D43082FA70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377D-AA7F-486B-B64A-ADF4D2CE7E72}">
  <dimension ref="B1:E49"/>
  <sheetViews>
    <sheetView showGridLines="0" zoomScale="85" zoomScaleNormal="85" workbookViewId="0">
      <selection activeCell="B3" sqref="B3"/>
    </sheetView>
  </sheetViews>
  <sheetFormatPr defaultColWidth="8.7265625" defaultRowHeight="17.399999999999999" x14ac:dyDescent="0.35"/>
  <cols>
    <col min="1" max="1" width="2.26953125" customWidth="1"/>
    <col min="2" max="2" width="51" customWidth="1"/>
    <col min="3" max="3" width="18" customWidth="1"/>
    <col min="4" max="5" width="14.26953125" style="4" customWidth="1"/>
    <col min="6" max="6" width="3.7265625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9" t="s">
        <v>43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1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Доходы18[[#Totals],[Планируемые]]</f>
        <v>0</v>
      </c>
      <c r="D15" s="4">
        <f>Доходы18[[#Totals],[Фактические]]</f>
        <v>0</v>
      </c>
      <c r="E15" s="13">
        <f>Доходы18[[#Totals],[Отклонение]]</f>
        <v>0</v>
      </c>
    </row>
    <row r="16" spans="2:5" x14ac:dyDescent="0.35">
      <c r="B16" s="12" t="s">
        <v>3</v>
      </c>
      <c r="C16" s="4">
        <f>Расходы19[[#Totals],[Планируемые]]</f>
        <v>0</v>
      </c>
      <c r="D16" s="4">
        <f>Расходы19[[#Totals],[Фактические]]</f>
        <v>0</v>
      </c>
      <c r="E16" s="13">
        <f>Расходы19[[#Totals],[Отклонение]]</f>
        <v>0</v>
      </c>
    </row>
    <row r="17" spans="2:5" x14ac:dyDescent="0.35">
      <c r="B17" s="12" t="s">
        <v>4</v>
      </c>
      <c r="C17" s="13">
        <f>C15-C16</f>
        <v>0</v>
      </c>
      <c r="D17" s="13">
        <f>D15-D16</f>
        <v>0</v>
      </c>
      <c r="E17" s="13">
        <f>SUBTOTAL(109,Движение_денежных_средств17[Отклонение])</f>
        <v>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Доходы18[[#This Row],[Фактические]]-Доходы18[[#This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Доходы18[[#This Row],[Фактические]]-Доходы18[[#This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Доходы18[[#This Row],[Фактические]]-Доходы18[[#This Row],[Планируемые]]</f>
        <v>0</v>
      </c>
    </row>
    <row r="23" spans="2:5" x14ac:dyDescent="0.35">
      <c r="B23" s="12" t="s">
        <v>35</v>
      </c>
      <c r="C23" s="13">
        <v>0</v>
      </c>
      <c r="D23" s="13">
        <v>0</v>
      </c>
      <c r="E23" s="13">
        <f>Доходы18[[#This Row],[Фактические]]-Доходы18[[#This Row],[Планируемые]]</f>
        <v>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Доходы18[[#This Row],[Фактические]]-Доходы18[[#This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Доходы18[[#This Row],[Фактические]]-Доходы18[[#This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SUBTOTAL(109,Доходы18[Планируемые])</f>
        <v>0</v>
      </c>
      <c r="D26" s="13">
        <f>SUBTOTAL(109,Доходы18[Фактические])</f>
        <v>0</v>
      </c>
      <c r="E26" s="13">
        <f>SUBTOTAL(109,Доходы18[Отклонение])</f>
        <v>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Расходы19[[#This Row],[Планируемые]]-Расходы19[[#This Row],[Фактические]]</f>
        <v>0</v>
      </c>
    </row>
    <row r="30" spans="2:5" x14ac:dyDescent="0.35">
      <c r="B30" s="12" t="s">
        <v>11</v>
      </c>
      <c r="C30" s="13">
        <v>0</v>
      </c>
      <c r="D30" s="13">
        <v>0</v>
      </c>
      <c r="E30" s="13">
        <f>Расходы19[[#This Row],[Планируемые]]-Расходы19[[#This Row],[Фактические]]</f>
        <v>0</v>
      </c>
    </row>
    <row r="31" spans="2:5" x14ac:dyDescent="0.35">
      <c r="B31" s="12" t="s">
        <v>12</v>
      </c>
      <c r="C31" s="13">
        <v>0</v>
      </c>
      <c r="D31" s="13">
        <v>0</v>
      </c>
      <c r="E31" s="13">
        <f>Расходы19[[#This Row],[Планируемые]]-Расходы19[[#This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Расходы19[[#This Row],[Планируемые]]-Расходы19[[#This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Расходы19[[#This Row],[Планируемые]]-Расходы19[[#This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Расходы19[[#This Row],[Планируемые]]-Расходы19[[#This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Расходы19[[#This Row],[Планируемые]]-Расходы19[[#This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Расходы19[[#This Row],[Планируемые]]-Расходы19[[#This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Расходы19[[#This Row],[Планируемые]]-Расходы19[[#This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Расходы19[[#This Row],[Планируемые]]-Расходы19[[#This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Расходы19[[#This Row],[Планируемые]]-Расходы19[[#This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Расходы19[[#This Row],[Планируемые]]-Расходы19[[#This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Расходы19[[#This Row],[Планируемые]]-Расходы19[[#This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Расходы19[[#This Row],[Планируемые]]-Расходы19[[#This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Расходы19[[#This Row],[Планируемые]]-Расходы19[[#This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Расходы19[[#This Row],[Планируемые]]-Расходы19[[#This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Расходы19[[#This Row],[Планируемые]]-Расходы19[[#This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Расходы19[[#This Row],[Планируемые]]-Расходы19[[#This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Расходы19[[#This Row],[Планируемые]]-Расходы19[[#This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Расходы19[[#This Row],[Планируемые]]-Расходы19[[#This Row],[Фактические]]</f>
        <v>0</v>
      </c>
    </row>
    <row r="49" spans="2:5" x14ac:dyDescent="0.35">
      <c r="B49" s="12" t="s">
        <v>30</v>
      </c>
      <c r="C49" s="13">
        <f>SUBTOTAL(109,Расходы19[Планируемые])</f>
        <v>0</v>
      </c>
      <c r="D49" s="13">
        <f>SUBTOTAL(109,Расходы19[Фактические])</f>
        <v>0</v>
      </c>
      <c r="E49" s="13">
        <f>SUBTOTAL(109,Расходы19[Отклонение])</f>
        <v>0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73E1777-4301-4ECF-ABC7-C7328DD1F048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2" id="{C7BDBCEA-28F0-4DDF-9514-7816DE11417D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3" id="{0C0A4598-3919-40D4-90C5-64D67351A4D0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249B-307B-49E5-82E3-9F2BA7FD8DE7}">
  <dimension ref="B1:E49"/>
  <sheetViews>
    <sheetView showGridLines="0" zoomScale="85" zoomScaleNormal="85" workbookViewId="0">
      <selection activeCell="B3" sqref="B3"/>
    </sheetView>
  </sheetViews>
  <sheetFormatPr defaultColWidth="8.7265625" defaultRowHeight="17.399999999999999" x14ac:dyDescent="0.35"/>
  <cols>
    <col min="1" max="1" width="2.26953125" customWidth="1"/>
    <col min="2" max="2" width="51" customWidth="1"/>
    <col min="3" max="3" width="18" customWidth="1"/>
    <col min="4" max="5" width="14.26953125" style="4" customWidth="1"/>
    <col min="6" max="6" width="3.7265625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14" t="s">
        <v>60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1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Доходы21[[#Totals],[Планируемые]]</f>
        <v>0</v>
      </c>
      <c r="D15" s="4">
        <f>Доходы21[[#Totals],[Фактические]]</f>
        <v>0</v>
      </c>
      <c r="E15" s="13">
        <f>Доходы21[[#Totals],[Отклонение]]</f>
        <v>0</v>
      </c>
    </row>
    <row r="16" spans="2:5" x14ac:dyDescent="0.35">
      <c r="B16" s="12" t="s">
        <v>3</v>
      </c>
      <c r="C16" s="4">
        <f>Расходы22[[#Totals],[Планируемые]]</f>
        <v>0</v>
      </c>
      <c r="D16" s="4">
        <f>Расходы22[[#Totals],[Фактические]]</f>
        <v>0</v>
      </c>
      <c r="E16" s="13">
        <f>Расходы22[[#Totals],[Отклонение]]</f>
        <v>0</v>
      </c>
    </row>
    <row r="17" spans="2:5" x14ac:dyDescent="0.35">
      <c r="B17" s="12" t="s">
        <v>4</v>
      </c>
      <c r="C17" s="13">
        <f>C15-C16</f>
        <v>0</v>
      </c>
      <c r="D17" s="13">
        <f>D15-D16</f>
        <v>0</v>
      </c>
      <c r="E17" s="13">
        <f>SUBTOTAL(109,Движение_денежных_средств20[Отклонение])</f>
        <v>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Доходы21[[#This Row],[Фактические]]-Доходы21[[#This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Доходы21[[#This Row],[Фактические]]-Доходы21[[#This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Доходы21[[#This Row],[Фактические]]-Доходы21[[#This Row],[Планируемые]]</f>
        <v>0</v>
      </c>
    </row>
    <row r="23" spans="2:5" x14ac:dyDescent="0.35">
      <c r="B23" s="12" t="s">
        <v>35</v>
      </c>
      <c r="C23" s="13">
        <v>0</v>
      </c>
      <c r="D23" s="13">
        <v>0</v>
      </c>
      <c r="E23" s="13">
        <f>Доходы21[[#This Row],[Фактические]]-Доходы21[[#This Row],[Планируемые]]</f>
        <v>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Доходы21[[#This Row],[Фактические]]-Доходы21[[#This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Доходы21[[#This Row],[Фактические]]-Доходы21[[#This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SUBTOTAL(109,Доходы21[Планируемые])</f>
        <v>0</v>
      </c>
      <c r="D26" s="13">
        <f>SUBTOTAL(109,Доходы21[Фактические])</f>
        <v>0</v>
      </c>
      <c r="E26" s="13">
        <f>SUBTOTAL(109,Доходы21[Отклонение])</f>
        <v>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Расходы22[[#This Row],[Планируемые]]-Расходы22[[#This Row],[Фактические]]</f>
        <v>0</v>
      </c>
    </row>
    <row r="30" spans="2:5" x14ac:dyDescent="0.35">
      <c r="B30" s="12" t="s">
        <v>11</v>
      </c>
      <c r="C30" s="13">
        <v>0</v>
      </c>
      <c r="D30" s="13">
        <v>0</v>
      </c>
      <c r="E30" s="13">
        <f>Расходы22[[#This Row],[Планируемые]]-Расходы22[[#This Row],[Фактические]]</f>
        <v>0</v>
      </c>
    </row>
    <row r="31" spans="2:5" x14ac:dyDescent="0.35">
      <c r="B31" s="12" t="s">
        <v>12</v>
      </c>
      <c r="C31" s="13">
        <v>0</v>
      </c>
      <c r="D31" s="13">
        <v>0</v>
      </c>
      <c r="E31" s="13">
        <f>Расходы22[[#This Row],[Планируемые]]-Расходы22[[#This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Расходы22[[#This Row],[Планируемые]]-Расходы22[[#This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Расходы22[[#This Row],[Планируемые]]-Расходы22[[#This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Расходы22[[#This Row],[Планируемые]]-Расходы22[[#This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Расходы22[[#This Row],[Планируемые]]-Расходы22[[#This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Расходы22[[#This Row],[Планируемые]]-Расходы22[[#This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Расходы22[[#This Row],[Планируемые]]-Расходы22[[#This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Расходы22[[#This Row],[Планируемые]]-Расходы22[[#This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Расходы22[[#This Row],[Планируемые]]-Расходы22[[#This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Расходы22[[#This Row],[Планируемые]]-Расходы22[[#This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Расходы22[[#This Row],[Планируемые]]-Расходы22[[#This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Расходы22[[#This Row],[Планируемые]]-Расходы22[[#This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Расходы22[[#This Row],[Планируемые]]-Расходы22[[#This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Расходы22[[#This Row],[Планируемые]]-Расходы22[[#This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Расходы22[[#This Row],[Планируемые]]-Расходы22[[#This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Расходы22[[#This Row],[Планируемые]]-Расходы22[[#This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Расходы22[[#This Row],[Планируемые]]-Расходы22[[#This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Расходы22[[#This Row],[Планируемые]]-Расходы22[[#This Row],[Фактические]]</f>
        <v>0</v>
      </c>
    </row>
    <row r="49" spans="2:5" x14ac:dyDescent="0.35">
      <c r="B49" s="12" t="s">
        <v>30</v>
      </c>
      <c r="C49" s="13">
        <f>SUBTOTAL(109,Расходы22[Планируемые])</f>
        <v>0</v>
      </c>
      <c r="D49" s="13">
        <f>SUBTOTAL(109,Расходы22[Фактические])</f>
        <v>0</v>
      </c>
      <c r="E49" s="13">
        <f>SUBTOTAL(109,Расходы22[Отклонение])</f>
        <v>0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3E12790-06D1-4533-B285-19DFD23EE0E2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2" id="{A2CFAAD7-A285-46E1-AAE1-30A2A3C88DFB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3" id="{00FE419E-4A55-4B25-BDF9-99720FF0F6E4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8FD5-00D7-4F25-9D04-07A602057054}">
  <dimension ref="B1:E49"/>
  <sheetViews>
    <sheetView showGridLines="0" zoomScale="85" zoomScaleNormal="85" workbookViewId="0">
      <selection activeCell="B3" sqref="B3"/>
    </sheetView>
  </sheetViews>
  <sheetFormatPr defaultColWidth="8.7265625" defaultRowHeight="17.399999999999999" x14ac:dyDescent="0.35"/>
  <cols>
    <col min="1" max="1" width="2.26953125" customWidth="1"/>
    <col min="2" max="2" width="51" customWidth="1"/>
    <col min="3" max="3" width="18" customWidth="1"/>
    <col min="4" max="5" width="14.26953125" style="4" customWidth="1"/>
    <col min="6" max="6" width="3.7265625" customWidth="1"/>
  </cols>
  <sheetData>
    <row r="1" spans="2:5" ht="46.5" customHeight="1" x14ac:dyDescent="0.35">
      <c r="B1" s="10" t="s">
        <v>0</v>
      </c>
      <c r="C1" s="4"/>
    </row>
    <row r="2" spans="2:5" ht="26.4" thickBot="1" x14ac:dyDescent="0.4">
      <c r="B2" s="9" t="s">
        <v>42</v>
      </c>
      <c r="C2" s="4"/>
    </row>
    <row r="3" spans="2:5" ht="25.8" x14ac:dyDescent="0.35">
      <c r="B3" s="8">
        <v>2026</v>
      </c>
      <c r="C3" s="4"/>
    </row>
    <row r="4" spans="2:5" x14ac:dyDescent="0.35">
      <c r="C4" s="4"/>
    </row>
    <row r="5" spans="2:5" x14ac:dyDescent="0.35">
      <c r="B5" s="23"/>
    </row>
    <row r="6" spans="2:5" x14ac:dyDescent="0.35">
      <c r="B6" s="23"/>
    </row>
    <row r="7" spans="2:5" x14ac:dyDescent="0.35">
      <c r="B7" s="23"/>
    </row>
    <row r="8" spans="2:5" x14ac:dyDescent="0.35">
      <c r="B8" s="23"/>
    </row>
    <row r="9" spans="2:5" x14ac:dyDescent="0.35">
      <c r="B9" s="23"/>
      <c r="C9" s="4"/>
    </row>
    <row r="10" spans="2:5" x14ac:dyDescent="0.35">
      <c r="B10" s="23"/>
      <c r="C10" s="4"/>
    </row>
    <row r="11" spans="2:5" x14ac:dyDescent="0.35">
      <c r="B11" s="23"/>
      <c r="C11" s="4"/>
    </row>
    <row r="12" spans="2:5" x14ac:dyDescent="0.35">
      <c r="C12" s="4"/>
    </row>
    <row r="13" spans="2:5" ht="46.5" customHeight="1" x14ac:dyDescent="0.25">
      <c r="B13" s="11"/>
      <c r="C13" s="4"/>
    </row>
    <row r="14" spans="2:5" ht="33" customHeight="1" thickBot="1" x14ac:dyDescent="0.4">
      <c r="B14" s="1" t="s">
        <v>1</v>
      </c>
      <c r="C14" s="5" t="s">
        <v>31</v>
      </c>
      <c r="D14" s="5" t="s">
        <v>32</v>
      </c>
      <c r="E14" s="5" t="s">
        <v>33</v>
      </c>
    </row>
    <row r="15" spans="2:5" x14ac:dyDescent="0.35">
      <c r="B15" s="12" t="s">
        <v>2</v>
      </c>
      <c r="C15" s="4">
        <f>Доходы24[[#Totals],[Планируемые]]</f>
        <v>0</v>
      </c>
      <c r="D15" s="4">
        <f>Доходы24[[#Totals],[Фактические]]</f>
        <v>0</v>
      </c>
      <c r="E15" s="13">
        <f>Доходы24[[#Totals],[Отклонение]]</f>
        <v>0</v>
      </c>
    </row>
    <row r="16" spans="2:5" x14ac:dyDescent="0.35">
      <c r="B16" s="12" t="s">
        <v>3</v>
      </c>
      <c r="C16" s="4">
        <f>Расходы25[[#Totals],[Планируемые]]</f>
        <v>0</v>
      </c>
      <c r="D16" s="4">
        <f>Расходы25[[#Totals],[Фактические]]</f>
        <v>0</v>
      </c>
      <c r="E16" s="13">
        <f>Расходы25[[#Totals],[Отклонение]]</f>
        <v>0</v>
      </c>
    </row>
    <row r="17" spans="2:5" x14ac:dyDescent="0.35">
      <c r="B17" s="12" t="s">
        <v>4</v>
      </c>
      <c r="C17" s="13">
        <f>C15-C16</f>
        <v>0</v>
      </c>
      <c r="D17" s="13">
        <f>D15-D16</f>
        <v>0</v>
      </c>
      <c r="E17" s="13">
        <f>SUBTOTAL(109,Движение_денежных_средств23[Отклонение])</f>
        <v>0</v>
      </c>
    </row>
    <row r="18" spans="2:5" ht="30.75" customHeight="1" x14ac:dyDescent="0.35"/>
    <row r="19" spans="2:5" ht="33" thickBot="1" x14ac:dyDescent="0.4">
      <c r="B19" s="2" t="s">
        <v>5</v>
      </c>
      <c r="C19" s="6" t="s">
        <v>31</v>
      </c>
      <c r="D19" s="6" t="s">
        <v>32</v>
      </c>
      <c r="E19" s="6" t="s">
        <v>33</v>
      </c>
    </row>
    <row r="20" spans="2:5" x14ac:dyDescent="0.35">
      <c r="B20" s="12" t="s">
        <v>6</v>
      </c>
      <c r="C20" s="13">
        <v>0</v>
      </c>
      <c r="D20" s="13">
        <v>0</v>
      </c>
      <c r="E20" s="13">
        <f>Доходы24[[#This Row],[Фактические]]-Доходы24[[#This Row],[Планируемые]]</f>
        <v>0</v>
      </c>
    </row>
    <row r="21" spans="2:5" x14ac:dyDescent="0.35">
      <c r="B21" s="12" t="s">
        <v>7</v>
      </c>
      <c r="C21" s="13">
        <v>0</v>
      </c>
      <c r="D21" s="13">
        <v>0</v>
      </c>
      <c r="E21" s="13">
        <f>Доходы24[[#This Row],[Фактические]]-Доходы24[[#This Row],[Планируемые]]</f>
        <v>0</v>
      </c>
    </row>
    <row r="22" spans="2:5" x14ac:dyDescent="0.35">
      <c r="B22" s="12" t="s">
        <v>34</v>
      </c>
      <c r="C22" s="13">
        <v>0</v>
      </c>
      <c r="D22" s="13">
        <v>0</v>
      </c>
      <c r="E22" s="13">
        <f>Доходы24[[#This Row],[Фактические]]-Доходы24[[#This Row],[Планируемые]]</f>
        <v>0</v>
      </c>
    </row>
    <row r="23" spans="2:5" x14ac:dyDescent="0.35">
      <c r="B23" s="12" t="s">
        <v>35</v>
      </c>
      <c r="C23" s="13">
        <v>0</v>
      </c>
      <c r="D23" s="13">
        <v>0</v>
      </c>
      <c r="E23" s="13">
        <f>Доходы24[[#This Row],[Фактические]]-Доходы24[[#This Row],[Планируемые]]</f>
        <v>0</v>
      </c>
    </row>
    <row r="24" spans="2:5" x14ac:dyDescent="0.35">
      <c r="B24" s="12" t="s">
        <v>36</v>
      </c>
      <c r="C24" s="13">
        <v>0</v>
      </c>
      <c r="D24" s="13">
        <v>0</v>
      </c>
      <c r="E24" s="13">
        <f>Доходы24[[#This Row],[Фактические]]-Доходы24[[#This Row],[Планируемые]]</f>
        <v>0</v>
      </c>
    </row>
    <row r="25" spans="2:5" ht="17.25" customHeight="1" x14ac:dyDescent="0.35">
      <c r="B25" s="12" t="s">
        <v>8</v>
      </c>
      <c r="C25" s="13">
        <v>0</v>
      </c>
      <c r="D25" s="13">
        <v>0</v>
      </c>
      <c r="E25" s="13">
        <f>Доходы24[[#This Row],[Фактические]]-Доходы24[[#This Row],[Планируемые]]</f>
        <v>0</v>
      </c>
    </row>
    <row r="26" spans="2:5" ht="21.75" customHeight="1" x14ac:dyDescent="0.35">
      <c r="B26" s="12" t="s">
        <v>2</v>
      </c>
      <c r="C26" s="13">
        <f>SUBTOTAL(109,Доходы24[Планируемые])</f>
        <v>0</v>
      </c>
      <c r="D26" s="13">
        <f>SUBTOTAL(109,Доходы24[Фактические])</f>
        <v>0</v>
      </c>
      <c r="E26" s="13">
        <f>SUBTOTAL(109,Доходы24[Отклонение])</f>
        <v>0</v>
      </c>
    </row>
    <row r="28" spans="2:5" ht="33" thickBot="1" x14ac:dyDescent="0.4">
      <c r="B28" s="3" t="s">
        <v>9</v>
      </c>
      <c r="C28" s="7" t="s">
        <v>31</v>
      </c>
      <c r="D28" s="7" t="s">
        <v>32</v>
      </c>
      <c r="E28" s="7" t="s">
        <v>33</v>
      </c>
    </row>
    <row r="29" spans="2:5" x14ac:dyDescent="0.35">
      <c r="B29" s="12" t="s">
        <v>10</v>
      </c>
      <c r="C29" s="13">
        <v>0</v>
      </c>
      <c r="D29" s="13">
        <v>0</v>
      </c>
      <c r="E29" s="13">
        <f>Расходы25[[#This Row],[Планируемые]]-Расходы25[[#This Row],[Фактические]]</f>
        <v>0</v>
      </c>
    </row>
    <row r="30" spans="2:5" x14ac:dyDescent="0.35">
      <c r="B30" s="12" t="s">
        <v>11</v>
      </c>
      <c r="C30" s="13">
        <v>0</v>
      </c>
      <c r="D30" s="13">
        <v>0</v>
      </c>
      <c r="E30" s="13">
        <f>Расходы25[[#This Row],[Планируемые]]-Расходы25[[#This Row],[Фактические]]</f>
        <v>0</v>
      </c>
    </row>
    <row r="31" spans="2:5" x14ac:dyDescent="0.35">
      <c r="B31" s="12" t="s">
        <v>12</v>
      </c>
      <c r="C31" s="13">
        <v>0</v>
      </c>
      <c r="D31" s="13">
        <v>0</v>
      </c>
      <c r="E31" s="13">
        <f>Расходы25[[#This Row],[Планируемые]]-Расходы25[[#This Row],[Фактические]]</f>
        <v>0</v>
      </c>
    </row>
    <row r="32" spans="2:5" x14ac:dyDescent="0.35">
      <c r="B32" s="12" t="s">
        <v>13</v>
      </c>
      <c r="C32" s="13">
        <v>0</v>
      </c>
      <c r="D32" s="13">
        <v>0</v>
      </c>
      <c r="E32" s="13">
        <f>Расходы25[[#This Row],[Планируемые]]-Расходы25[[#This Row],[Фактические]]</f>
        <v>0</v>
      </c>
    </row>
    <row r="33" spans="2:5" x14ac:dyDescent="0.35">
      <c r="B33" s="12" t="s">
        <v>14</v>
      </c>
      <c r="C33" s="13">
        <v>0</v>
      </c>
      <c r="D33" s="13">
        <v>0</v>
      </c>
      <c r="E33" s="13">
        <f>Расходы25[[#This Row],[Планируемые]]-Расходы25[[#This Row],[Фактические]]</f>
        <v>0</v>
      </c>
    </row>
    <row r="34" spans="2:5" x14ac:dyDescent="0.35">
      <c r="B34" s="12" t="s">
        <v>15</v>
      </c>
      <c r="C34" s="13">
        <v>0</v>
      </c>
      <c r="D34" s="13">
        <v>0</v>
      </c>
      <c r="E34" s="13">
        <f>Расходы25[[#This Row],[Планируемые]]-Расходы25[[#This Row],[Фактические]]</f>
        <v>0</v>
      </c>
    </row>
    <row r="35" spans="2:5" x14ac:dyDescent="0.35">
      <c r="B35" s="12" t="s">
        <v>16</v>
      </c>
      <c r="C35" s="13">
        <v>0</v>
      </c>
      <c r="D35" s="13">
        <v>0</v>
      </c>
      <c r="E35" s="13">
        <f>Расходы25[[#This Row],[Планируемые]]-Расходы25[[#This Row],[Фактические]]</f>
        <v>0</v>
      </c>
    </row>
    <row r="36" spans="2:5" x14ac:dyDescent="0.35">
      <c r="B36" s="12" t="s">
        <v>17</v>
      </c>
      <c r="C36" s="13">
        <v>0</v>
      </c>
      <c r="D36" s="13">
        <v>0</v>
      </c>
      <c r="E36" s="13">
        <f>Расходы25[[#This Row],[Планируемые]]-Расходы25[[#This Row],[Фактические]]</f>
        <v>0</v>
      </c>
    </row>
    <row r="37" spans="2:5" x14ac:dyDescent="0.35">
      <c r="B37" s="12" t="s">
        <v>18</v>
      </c>
      <c r="C37" s="13">
        <v>0</v>
      </c>
      <c r="D37" s="13">
        <v>0</v>
      </c>
      <c r="E37" s="13">
        <f>Расходы25[[#This Row],[Планируемые]]-Расходы25[[#This Row],[Фактические]]</f>
        <v>0</v>
      </c>
    </row>
    <row r="38" spans="2:5" x14ac:dyDescent="0.35">
      <c r="B38" s="12" t="s">
        <v>19</v>
      </c>
      <c r="C38" s="13">
        <v>0</v>
      </c>
      <c r="D38" s="13">
        <v>0</v>
      </c>
      <c r="E38" s="13">
        <f>Расходы25[[#This Row],[Планируемые]]-Расходы25[[#This Row],[Фактические]]</f>
        <v>0</v>
      </c>
    </row>
    <row r="39" spans="2:5" x14ac:dyDescent="0.35">
      <c r="B39" s="12" t="s">
        <v>20</v>
      </c>
      <c r="C39" s="13">
        <v>0</v>
      </c>
      <c r="D39" s="13">
        <v>0</v>
      </c>
      <c r="E39" s="13">
        <f>Расходы25[[#This Row],[Планируемые]]-Расходы25[[#This Row],[Фактические]]</f>
        <v>0</v>
      </c>
    </row>
    <row r="40" spans="2:5" x14ac:dyDescent="0.35">
      <c r="B40" s="12" t="s">
        <v>21</v>
      </c>
      <c r="C40" s="13">
        <v>0</v>
      </c>
      <c r="D40" s="13">
        <v>0</v>
      </c>
      <c r="E40" s="13">
        <f>Расходы25[[#This Row],[Планируемые]]-Расходы25[[#This Row],[Фактические]]</f>
        <v>0</v>
      </c>
    </row>
    <row r="41" spans="2:5" x14ac:dyDescent="0.35">
      <c r="B41" s="12" t="s">
        <v>22</v>
      </c>
      <c r="C41" s="13">
        <v>0</v>
      </c>
      <c r="D41" s="13">
        <v>0</v>
      </c>
      <c r="E41" s="13">
        <f>Расходы25[[#This Row],[Планируемые]]-Расходы25[[#This Row],[Фактические]]</f>
        <v>0</v>
      </c>
    </row>
    <row r="42" spans="2:5" x14ac:dyDescent="0.35">
      <c r="B42" s="12" t="s">
        <v>23</v>
      </c>
      <c r="C42" s="13">
        <v>0</v>
      </c>
      <c r="D42" s="13">
        <v>0</v>
      </c>
      <c r="E42" s="13">
        <f>Расходы25[[#This Row],[Планируемые]]-Расходы25[[#This Row],[Фактические]]</f>
        <v>0</v>
      </c>
    </row>
    <row r="43" spans="2:5" x14ac:dyDescent="0.35">
      <c r="B43" s="12" t="s">
        <v>24</v>
      </c>
      <c r="C43" s="13">
        <v>0</v>
      </c>
      <c r="D43" s="13">
        <v>0</v>
      </c>
      <c r="E43" s="13">
        <f>Расходы25[[#This Row],[Планируемые]]-Расходы25[[#This Row],[Фактические]]</f>
        <v>0</v>
      </c>
    </row>
    <row r="44" spans="2:5" x14ac:dyDescent="0.35">
      <c r="B44" s="12" t="s">
        <v>25</v>
      </c>
      <c r="C44" s="13">
        <v>0</v>
      </c>
      <c r="D44" s="13">
        <v>0</v>
      </c>
      <c r="E44" s="13">
        <f>Расходы25[[#This Row],[Планируемые]]-Расходы25[[#This Row],[Фактические]]</f>
        <v>0</v>
      </c>
    </row>
    <row r="45" spans="2:5" x14ac:dyDescent="0.35">
      <c r="B45" s="12" t="s">
        <v>26</v>
      </c>
      <c r="C45" s="13">
        <v>0</v>
      </c>
      <c r="D45" s="13">
        <v>0</v>
      </c>
      <c r="E45" s="13">
        <f>Расходы25[[#This Row],[Планируемые]]-Расходы25[[#This Row],[Фактические]]</f>
        <v>0</v>
      </c>
    </row>
    <row r="46" spans="2:5" x14ac:dyDescent="0.35">
      <c r="B46" s="12" t="s">
        <v>27</v>
      </c>
      <c r="C46" s="13">
        <v>0</v>
      </c>
      <c r="D46" s="13">
        <v>0</v>
      </c>
      <c r="E46" s="13">
        <f>Расходы25[[#This Row],[Планируемые]]-Расходы25[[#This Row],[Фактические]]</f>
        <v>0</v>
      </c>
    </row>
    <row r="47" spans="2:5" x14ac:dyDescent="0.35">
      <c r="B47" s="12" t="s">
        <v>28</v>
      </c>
      <c r="C47" s="13">
        <v>0</v>
      </c>
      <c r="D47" s="13">
        <v>0</v>
      </c>
      <c r="E47" s="13">
        <f>Расходы25[[#This Row],[Планируемые]]-Расходы25[[#This Row],[Фактические]]</f>
        <v>0</v>
      </c>
    </row>
    <row r="48" spans="2:5" x14ac:dyDescent="0.35">
      <c r="B48" s="12" t="s">
        <v>29</v>
      </c>
      <c r="C48" s="13">
        <v>0</v>
      </c>
      <c r="D48" s="13">
        <v>0</v>
      </c>
      <c r="E48" s="13">
        <f>Расходы25[[#This Row],[Планируемые]]-Расходы25[[#This Row],[Фактические]]</f>
        <v>0</v>
      </c>
    </row>
    <row r="49" spans="2:5" x14ac:dyDescent="0.35">
      <c r="B49" s="12" t="s">
        <v>30</v>
      </c>
      <c r="C49" s="13">
        <f>SUBTOTAL(109,Расходы25[Планируемые])</f>
        <v>0</v>
      </c>
      <c r="D49" s="13">
        <f>SUBTOTAL(109,Расходы25[Фактические])</f>
        <v>0</v>
      </c>
      <c r="E49" s="13">
        <f>SUBTOTAL(109,Расходы25[Отклонение])</f>
        <v>0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F7E9519-B22C-4DB5-828D-92E3A579947D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E15:E16</xm:sqref>
        </x14:conditionalFormatting>
        <x14:conditionalFormatting xmlns:xm="http://schemas.microsoft.com/office/excel/2006/main">
          <x14:cfRule type="iconSet" priority="2" id="{66181F0D-2531-4729-9EFD-BD4A67108344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E29:E48</xm:sqref>
        </x14:conditionalFormatting>
        <x14:conditionalFormatting xmlns:xm="http://schemas.microsoft.com/office/excel/2006/main">
          <x14:cfRule type="iconSet" priority="3" id="{54FD98A8-51FA-4C17-87C9-1464B1BA2B3B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E20:E25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TM10000054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Графические данные</vt:lpstr>
      <vt:lpstr>Январь 2026</vt:lpstr>
      <vt:lpstr>Февраль 2026</vt:lpstr>
      <vt:lpstr>Март 2026</vt:lpstr>
      <vt:lpstr>Апрель 2026</vt:lpstr>
      <vt:lpstr>Май 2026</vt:lpstr>
      <vt:lpstr>Июнь 2026</vt:lpstr>
      <vt:lpstr>Июль 2026</vt:lpstr>
      <vt:lpstr>Август 2026</vt:lpstr>
      <vt:lpstr>Сентябрь 2026</vt:lpstr>
      <vt:lpstr>Октябрь 2026</vt:lpstr>
      <vt:lpstr>Ноябрь 2026</vt:lpstr>
      <vt:lpstr>Декабрь 2026</vt:lpstr>
      <vt:lpstr>ИТОГИ 2026г.</vt:lpstr>
      <vt:lpstr>'Январь 2026'!Область_печати</vt:lpstr>
      <vt:lpstr>ОбщиеДоходыЗаМесяц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SUSA</cp:lastModifiedBy>
  <dcterms:created xsi:type="dcterms:W3CDTF">2014-12-15T22:25:13Z</dcterms:created>
  <dcterms:modified xsi:type="dcterms:W3CDTF">2026-02-11T11:25:18Z</dcterms:modified>
</cp:coreProperties>
</file>